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oal Tracker" sheetId="1" state="visible" r:id="rId3"/>
    <sheet name="Credit Plan" sheetId="2" state="visible" r:id="rId4"/>
    <sheet name="Deal Analyzer" sheetId="3" state="visible" r:id="rId5"/>
    <sheet name="Lender Questions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<sst xmlns="http://schemas.openxmlformats.org/spreadsheetml/2006/main" count="186" uniqueCount="156">
  <si>
    <t xml:space="preserve">Portfolio Purchase Goal — $100K</t>
  </si>
  <si>
    <t xml:space="preserve">Target = cash to buy a ~3-property STL bundle (down payment + closing + 6-mo reserves). Edit blue cells; the plan updates.</t>
  </si>
  <si>
    <t xml:space="preserve">WHAT THE $100K IS FOR (3-property ~$240K bundle)</t>
  </si>
  <si>
    <t xml:space="preserve">Down payment (30% — first-timer/low-credit case)</t>
  </si>
  <si>
    <t xml:space="preserve">Closing costs (~5%)</t>
  </si>
  <si>
    <t xml:space="preserve">Reserves (6 months PITIA)</t>
  </si>
  <si>
    <t xml:space="preserve">Buffer / inspections / cushion</t>
  </si>
  <si>
    <t xml:space="preserve">TARGET TOTAL</t>
  </si>
  <si>
    <t xml:space="preserve">YOUR NUMBERS — update monthly</t>
  </si>
  <si>
    <t xml:space="preserve">Current savings toward goal ($)</t>
  </si>
  <si>
    <t xml:space="preserve">Monthly amount you can save ($)</t>
  </si>
  <si>
    <t xml:space="preserve">Current credit score</t>
  </si>
  <si>
    <t xml:space="preserve">Target credit score</t>
  </si>
  <si>
    <t xml:space="preserve">Amount remaining</t>
  </si>
  <si>
    <t xml:space="preserve">% to goal</t>
  </si>
  <si>
    <t xml:space="preserve">Months to hit goal (at current pace)</t>
  </si>
  <si>
    <t xml:space="preserve">Projected hit date</t>
  </si>
  <si>
    <t xml:space="preserve">PACE REFERENCE (per month to clear the remaining)</t>
  </si>
  <si>
    <t xml:space="preserve">Save in 24 months →</t>
  </si>
  <si>
    <t xml:space="preserve">Save in 36 months →</t>
  </si>
  <si>
    <t xml:space="preserve">Save in 48 months →</t>
  </si>
  <si>
    <t xml:space="preserve">MONTHLY LOG — fill one row each month</t>
  </si>
  <si>
    <t xml:space="preserve">Month</t>
  </si>
  <si>
    <t xml:space="preserve">Date</t>
  </si>
  <si>
    <t xml:space="preserve">Savings balance</t>
  </si>
  <si>
    <t xml:space="preserve">Credit score</t>
  </si>
  <si>
    <t xml:space="preserve">Notes / wins</t>
  </si>
  <si>
    <t xml:space="preserve">Credit Plan — get from ~650 to 700+</t>
  </si>
  <si>
    <t xml:space="preserve">700+ unlocks better LTV (less down) and the UWM first-time-investor tier. Work top to bottom; check off as you go.</t>
  </si>
  <si>
    <t xml:space="preserve">#</t>
  </si>
  <si>
    <t xml:space="preserve">Action</t>
  </si>
  <si>
    <t xml:space="preserve">Why it moves the score</t>
  </si>
  <si>
    <t xml:space="preserve">Target date</t>
  </si>
  <si>
    <t xml:space="preserve">Done?</t>
  </si>
  <si>
    <t xml:space="preserve">Pull all 3 reports free (annualcreditreport.com)</t>
  </si>
  <si>
    <t xml:space="preserve">Find errors + see what each bureau reports</t>
  </si>
  <si>
    <t xml:space="preserve">Dispute any errors / inaccurate late marks</t>
  </si>
  <si>
    <t xml:space="preserve">Removing one wrong derog can jump 20-40 pts</t>
  </si>
  <si>
    <t xml:space="preserve">Get each card utilization under 30%, then under 10%</t>
  </si>
  <si>
    <t xml:space="preserve">Utilization ~30% of score — biggest fast lever</t>
  </si>
  <si>
    <t xml:space="preserve">Set autopay on every account (never miss a payment)</t>
  </si>
  <si>
    <t xml:space="preserve">Payment history ~35% of score</t>
  </si>
  <si>
    <t xml:space="preserve">Do NOT open new credit or let anyone pull credit</t>
  </si>
  <si>
    <t xml:space="preserve">New inquiries + accounts drop score short-term</t>
  </si>
  <si>
    <t xml:space="preserve">Do NOT close old/paid cards</t>
  </si>
  <si>
    <t xml:space="preserve">Keeps average account age &amp; total limit high</t>
  </si>
  <si>
    <t xml:space="preserve">Pay down highest-utilization card first, then next</t>
  </si>
  <si>
    <t xml:space="preserve">Fastest utilization drop per dollar</t>
  </si>
  <si>
    <t xml:space="preserve">If thin file: secured card or authorized-user spot</t>
  </si>
  <si>
    <t xml:space="preserve">Builds depth if you have few tradelines</t>
  </si>
  <si>
    <t xml:space="preserve">Re-pull scores every 60-90 days; log on Goal Tracker</t>
  </si>
  <si>
    <t xml:space="preserve">Track progress; apply at the peak</t>
  </si>
  <si>
    <t xml:space="preserve">Target: 680 unlocks more DSCR lenders; 700+ unlocks UWM first-time-investor tier (DSCR&gt;1.0). Aim for 700.</t>
  </si>
  <si>
    <t xml:space="preserve">St. Louis DSCR Deal Analyzer — First-Time Investor</t>
  </si>
  <si>
    <t xml:space="preserve">Listings pulled from Redfin/MLS GRID, Jun 24 2026 ($100K–$150K, houses + multifamily). Blue cells = editable inputs. DSCR &amp; loan math auto-calc.</t>
  </si>
  <si>
    <t xml:space="preserve">ASSUMPTIONS — edit the blue cells</t>
  </si>
  <si>
    <t xml:space="preserve">Interest Rate (DSCR ~8%)</t>
  </si>
  <si>
    <t xml:space="preserve">Down Payment %</t>
  </si>
  <si>
    <t xml:space="preserve">Property Tax (annual % of price)</t>
  </si>
  <si>
    <t xml:space="preserve">Insurance ($/mo)</t>
  </si>
  <si>
    <t xml:space="preserve">HOA ($/mo)</t>
  </si>
  <si>
    <t xml:space="preserve">Min Loan Floor ($)</t>
  </si>
  <si>
    <t xml:space="preserve">Min DSCR to "pass"</t>
  </si>
  <si>
    <t xml:space="preserve">Address</t>
  </si>
  <si>
    <t xml:space="preserve">ZIP</t>
  </si>
  <si>
    <t xml:space="preserve">Bd</t>
  </si>
  <si>
    <t xml:space="preserve">Ba</t>
  </si>
  <si>
    <t xml:space="preserve">SqFt</t>
  </si>
  <si>
    <t xml:space="preserve">Price</t>
  </si>
  <si>
    <t xml:space="preserve">Est Rent/mo</t>
  </si>
  <si>
    <t xml:space="preserve">Loan Amt</t>
  </si>
  <si>
    <t xml:space="preserve">P&amp;I/mo</t>
  </si>
  <si>
    <t xml:space="preserve">Taxes/mo</t>
  </si>
  <si>
    <t xml:space="preserve">Ins/mo</t>
  </si>
  <si>
    <t xml:space="preserve">PITIA</t>
  </si>
  <si>
    <t xml:space="preserve">DSCR</t>
  </si>
  <si>
    <t xml:space="preserve">Clears $100K?</t>
  </si>
  <si>
    <t xml:space="preserve">DSCR Pass?</t>
  </si>
  <si>
    <t xml:space="preserve">Suggested path</t>
  </si>
  <si>
    <t xml:space="preserve">Rent basis</t>
  </si>
  <si>
    <t xml:space="preserve">3901 Cranberry Ln</t>
  </si>
  <si>
    <t xml:space="preserve">63121</t>
  </si>
  <si>
    <t xml:space="preserve">Actual — tenant $1,200 thru 7/31/26</t>
  </si>
  <si>
    <t xml:space="preserve">6309 Page Ave</t>
  </si>
  <si>
    <t xml:space="preserve">63133</t>
  </si>
  <si>
    <t xml:space="preserve">Actual — duplex 2×$750</t>
  </si>
  <si>
    <t xml:space="preserve">1534 Comet Dr</t>
  </si>
  <si>
    <t xml:space="preserve">63137</t>
  </si>
  <si>
    <t xml:space="preserve">Est</t>
  </si>
  <si>
    <t xml:space="preserve">10147 Clairmont Dr</t>
  </si>
  <si>
    <t xml:space="preserve">63136</t>
  </si>
  <si>
    <t xml:space="preserve">200 E Ripa Ave</t>
  </si>
  <si>
    <t xml:space="preserve">63125</t>
  </si>
  <si>
    <t xml:space="preserve">536 Eiler</t>
  </si>
  <si>
    <t xml:space="preserve">63111</t>
  </si>
  <si>
    <t xml:space="preserve">245 Grampian Rd</t>
  </si>
  <si>
    <t xml:space="preserve">9503 Yorktown Dr</t>
  </si>
  <si>
    <t xml:space="preserve">4429 Greer Ave</t>
  </si>
  <si>
    <t xml:space="preserve">63115</t>
  </si>
  <si>
    <t xml:space="preserve">2813 Meramec St</t>
  </si>
  <si>
    <t xml:space="preserve">63118</t>
  </si>
  <si>
    <t xml:space="preserve">886 Prigge Rd</t>
  </si>
  <si>
    <t xml:space="preserve">63138</t>
  </si>
  <si>
    <t xml:space="preserve">Actual — tenanted, renews May</t>
  </si>
  <si>
    <t xml:space="preserve">11940 San Andres Dr</t>
  </si>
  <si>
    <t xml:space="preserve">9343 Duenke Dr</t>
  </si>
  <si>
    <t xml:space="preserve">Est (renovated)</t>
  </si>
  <si>
    <t xml:space="preserve">3645 Dunnica Ave</t>
  </si>
  <si>
    <t xml:space="preserve">63116</t>
  </si>
  <si>
    <t xml:space="preserve">3271 Marshall Ave</t>
  </si>
  <si>
    <t xml:space="preserve">63114</t>
  </si>
  <si>
    <t xml:space="preserve">2202 Osage St</t>
  </si>
  <si>
    <t xml:space="preserve">252 Wachtel Ave</t>
  </si>
  <si>
    <t xml:space="preserve">4837 Northland Ave</t>
  </si>
  <si>
    <t xml:space="preserve">63113</t>
  </si>
  <si>
    <t xml:space="preserve">Est (large)</t>
  </si>
  <si>
    <t xml:space="preserve">10201 Royal Dr</t>
  </si>
  <si>
    <t xml:space="preserve">755 Zeiss Ave</t>
  </si>
  <si>
    <t xml:space="preserve">3019 Chippewa St</t>
  </si>
  <si>
    <t xml:space="preserve">4140 Virginia Ave</t>
  </si>
  <si>
    <t xml:space="preserve">1130 Trampe Ave</t>
  </si>
  <si>
    <t xml:space="preserve">6537 Julian Ave</t>
  </si>
  <si>
    <t xml:space="preserve">NOTE: Rents marked "Est" are rough estimates — replace with real comps (Rentometer/AirDNA/market). Your file = first-time buyer, 620-679 credit → "Suggested path" assumes asset-based/local DSCR unless you reach 700+ for UWM. Loan/DSCR figures are illustrative, not a quote.</t>
  </si>
  <si>
    <t xml:space="preserve">Rental Portfolio (Blanket) DSCR — Program Questions for AEs</t>
  </si>
  <si>
    <t xml:space="preserve">Professional product questions to learn each lender's portfolio program for your pipeline. Send to CV3 (Chris O'Neill), Kiavi, and any portfolio-capable AE.</t>
  </si>
  <si>
    <t xml:space="preserve">SUBJECT: Rental portfolio (blanket) DSCR program — broker questions</t>
  </si>
  <si>
    <t xml:space="preserve">Hi [AE name],</t>
  </si>
  <si>
    <t xml:space="preserve">I'm an MLO building out my investor-lending shelf and want to understand your rental portfolio / blanket DSCR program so I can place the right deals with you. A few questions:</t>
  </si>
  <si>
    <t xml:space="preserve">1. MINIMUMS: Minimum number of properties and minimum total loan amount? Any minimum per-property value or loan amount (for lower-cost markets around $75K–$100K)?</t>
  </si>
  <si>
    <t xml:space="preserve">2. BORROWER ELIGIBILITY: Do you allow first-time investors (no prior property ownership)? Any experienced-investor or housing-history requirement?</t>
  </si>
  <si>
    <t xml:space="preserve">3. CREDIT: Minimum FICO, and how do LTV tiers move with FICO?</t>
  </si>
  <si>
    <t xml:space="preserve">4. LEVERAGE &amp; RESERVES: Max LTV for purchase / rate-term / cash-out, minimum DSCR, and reserve requirement (months PITIA)?</t>
  </si>
  <si>
    <t xml:space="preserve">5. RENT BASIS: Is qualifying rent from the appraiser 1007/market rent, in-place leases, or the lower of the two? Are short-term rentals allowed?</t>
  </si>
  <si>
    <t xml:space="preserve">6. STRUCTURE: Are properties cross-collateralized? Is there a release clause to sell one property? Prepayment-penalty options? Entity (LLC) + personal guarantee required?</t>
  </si>
  <si>
    <t xml:space="preserve">7. PROPERTY: Any condition floor (e.g., C4 or better)? Eligible property types? Eligible states (MO and CA specifically)?</t>
  </si>
  <si>
    <t xml:space="preserve">8. PRICING / PROCESS: How do I access rate sheets, typical points, and time to close?</t>
  </si>
  <si>
    <t xml:space="preserve">Thanks — looking forward to sending you deals.</t>
  </si>
  <si>
    <t xml:space="preserve">Jermaine Fields · MLO · NMLS #2067609 · DSCR Insider / NEXA</t>
  </si>
  <si>
    <t xml:space="preserve">LOG THEIR ANSWERS HERE (program facts — not about you)</t>
  </si>
  <si>
    <t xml:space="preserve">Program detail</t>
  </si>
  <si>
    <t xml:space="preserve">CV3 answer</t>
  </si>
  <si>
    <t xml:space="preserve">Kiavi answer</t>
  </si>
  <si>
    <t xml:space="preserve">Min # properties</t>
  </si>
  <si>
    <t xml:space="preserve">Min total loan</t>
  </si>
  <si>
    <t xml:space="preserve">Min per-property value</t>
  </si>
  <si>
    <t xml:space="preserve">First-time investor OK?</t>
  </si>
  <si>
    <t xml:space="preserve">Min FICO</t>
  </si>
  <si>
    <t xml:space="preserve">Max LTV by FICO</t>
  </si>
  <si>
    <t xml:space="preserve">Min reserves (mo PITIA)</t>
  </si>
  <si>
    <t xml:space="preserve">Min DSCR</t>
  </si>
  <si>
    <t xml:space="preserve">Rent basis / STR</t>
  </si>
  <si>
    <t xml:space="preserve">Release clause?</t>
  </si>
  <si>
    <t xml:space="preserve">Prepay options</t>
  </si>
  <si>
    <t xml:space="preserve">Eligible states (MO/CA)</t>
  </si>
  <si>
    <t xml:space="preserve">Rate / points</t>
  </si>
  <si>
    <t xml:space="preserve">Time to close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</si>
</sst>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\$#,##0"/>
    <numFmt numFmtId="166" formatCode="0"/>
    <numFmt numFmtId="167" formatCode="0.0%"/>
    <numFmt numFmtId="168" formatCode="mmm\ yyyy"/>
    <numFmt numFmtId="169" formatCode="\$#,##0&quot;/mo&quot;"/>
    <numFmt numFmtId="170" formatCode="0.00%"/>
    <numFmt numFmtId="171" formatCode="0.00"/>
    <numFmt numFmtId="172" formatCode="#,##0"/>
  </numFmts>
  <fonts count="1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E2A47"/>
      <name val="Arial"/>
      <family val="0"/>
      <charset val="1"/>
    </font>
    <font>
      <i val="true"/>
      <sz val="9"/>
      <color rgb="FF5A6675"/>
      <name val="Arial"/>
      <family val="0"/>
      <charset val="1"/>
    </font>
    <font>
      <b val="true"/>
      <sz val="10"/>
      <name val="Arial"/>
      <family val="0"/>
      <charset val="1"/>
    </font>
    <font>
      <sz val="10"/>
      <color rgb="FF000000"/>
      <name val="Arial"/>
      <family val="0"/>
      <charset val="1"/>
    </font>
    <font>
      <sz val="10"/>
      <color rgb="FF0000FF"/>
      <name val="Arial"/>
      <family val="0"/>
      <charset val="1"/>
    </font>
    <font>
      <b val="true"/>
      <sz val="12"/>
      <color rgb="FF2E7D52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i val="true"/>
      <sz val="8"/>
      <color rgb="FF5A6675"/>
      <name val="Arial"/>
      <family val="0"/>
      <charset val="1"/>
    </font>
    <font>
      <sz val="10"/>
      <name val="Arial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E8A838"/>
        <bgColor rgb="FFFFCC00"/>
      </patternFill>
    </fill>
    <fill>
      <patternFill patternType="solid">
        <fgColor rgb="FFE3F2E9"/>
        <bgColor rgb="FFF0F4F9"/>
      </patternFill>
    </fill>
    <fill>
      <patternFill patternType="solid">
        <fgColor rgb="FFFFF6E6"/>
        <bgColor rgb="FFF0F4F9"/>
      </patternFill>
    </fill>
    <fill>
      <patternFill patternType="solid">
        <fgColor rgb="FF0E2A47"/>
        <bgColor rgb="FF333333"/>
      </patternFill>
    </fill>
    <fill>
      <patternFill patternType="solid">
        <fgColor rgb="FFF0F4F9"/>
        <bgColor rgb="FFE3F2E9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7E0EC"/>
      </left>
      <right style="thin">
        <color rgb="FFD7E0EC"/>
      </right>
      <top style="thin">
        <color rgb="FFD7E0EC"/>
      </top>
      <bottom style="thin">
        <color rgb="FFD7E0E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6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9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6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4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4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0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2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4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1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6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2" fontId="7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6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1" fontId="7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6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6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6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6E6"/>
      <rgbColor rgb="FFE3F2E9"/>
      <rgbColor rgb="FF660066"/>
      <rgbColor rgb="FFFF8080"/>
      <rgbColor rgb="FF0066CC"/>
      <rgbColor rgb="FFD7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0F4F9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E8A838"/>
      <rgbColor rgb="FFFF6600"/>
      <rgbColor rgb="FF5A6675"/>
      <rgbColor rgb="FF969696"/>
      <rgbColor rgb="FF0E2A47"/>
      <rgbColor rgb="FF2E7D52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0"/>
    <col collapsed="false" customWidth="true" hidden="false" outlineLevel="0" max="3" min="2" style="1" width="16"/>
    <col collapsed="false" customWidth="true" hidden="false" outlineLevel="0" max="4" min="4" style="1" width="13"/>
    <col collapsed="false" customWidth="true" hidden="false" outlineLevel="0" max="5" min="5" style="1" width="34"/>
  </cols>
  <sheetData>
    <row r="1" customFormat="false" ht="17.25" hidden="false" customHeight="true" outlineLevel="0" collapsed="false">
      <c r="A1" s="2" t="s">
        <v>0</v>
      </c>
    </row>
    <row r="2" customFormat="false" ht="15" hidden="false" customHeight="true" outlineLevel="0" collapsed="false">
      <c r="A2" s="3" t="s">
        <v>1</v>
      </c>
    </row>
    <row r="4" customFormat="false" ht="15" hidden="false" customHeight="true" outlineLevel="0" collapsed="false">
      <c r="A4" s="4" t="s">
        <v>2</v>
      </c>
    </row>
    <row r="5" customFormat="false" ht="15" hidden="false" customHeight="true" outlineLevel="0" collapsed="false">
      <c r="A5" s="5" t="s">
        <v>3</v>
      </c>
      <c r="B5" s="6" t="n">
        <v>72000</v>
      </c>
    </row>
    <row r="6" customFormat="false" ht="15" hidden="false" customHeight="true" outlineLevel="0" collapsed="false">
      <c r="A6" s="5" t="s">
        <v>4</v>
      </c>
      <c r="B6" s="6" t="n">
        <v>12000</v>
      </c>
    </row>
    <row r="7" customFormat="false" ht="15" hidden="false" customHeight="true" outlineLevel="0" collapsed="false">
      <c r="A7" s="5" t="s">
        <v>5</v>
      </c>
      <c r="B7" s="6" t="n">
        <v>10000</v>
      </c>
    </row>
    <row r="8" customFormat="false" ht="15" hidden="false" customHeight="true" outlineLevel="0" collapsed="false">
      <c r="A8" s="5" t="s">
        <v>6</v>
      </c>
      <c r="B8" s="6" t="n">
        <v>6000</v>
      </c>
    </row>
    <row r="9" customFormat="false" ht="15" hidden="false" customHeight="true" outlineLevel="0" collapsed="false">
      <c r="A9" s="7" t="s">
        <v>7</v>
      </c>
      <c r="B9" s="8" t="n">
        <f aca="false">SUM(B5:B8)</f>
        <v>100000</v>
      </c>
    </row>
    <row r="11" customFormat="false" ht="15" hidden="false" customHeight="true" outlineLevel="0" collapsed="false">
      <c r="A11" s="4" t="s">
        <v>8</v>
      </c>
    </row>
    <row r="12" customFormat="false" ht="15" hidden="false" customHeight="true" outlineLevel="0" collapsed="false">
      <c r="A12" s="5" t="s">
        <v>9</v>
      </c>
      <c r="B12" s="9" t="n">
        <v>5000</v>
      </c>
    </row>
    <row r="13" customFormat="false" ht="15" hidden="false" customHeight="true" outlineLevel="0" collapsed="false">
      <c r="A13" s="5" t="s">
        <v>10</v>
      </c>
      <c r="B13" s="9" t="n">
        <v>2000</v>
      </c>
    </row>
    <row r="14" customFormat="false" ht="15" hidden="false" customHeight="true" outlineLevel="0" collapsed="false">
      <c r="A14" s="5" t="s">
        <v>11</v>
      </c>
      <c r="B14" s="10" t="n">
        <v>650</v>
      </c>
    </row>
    <row r="15" customFormat="false" ht="15" hidden="false" customHeight="true" outlineLevel="0" collapsed="false">
      <c r="A15" s="5" t="s">
        <v>12</v>
      </c>
      <c r="B15" s="10" t="n">
        <v>700</v>
      </c>
    </row>
    <row r="17" customFormat="false" ht="15" hidden="false" customHeight="true" outlineLevel="0" collapsed="false">
      <c r="A17" s="5" t="s">
        <v>13</v>
      </c>
      <c r="B17" s="6" t="n">
        <f aca="false">$B$9-$B$12</f>
        <v>95000</v>
      </c>
    </row>
    <row r="18" customFormat="false" ht="15" hidden="false" customHeight="true" outlineLevel="0" collapsed="false">
      <c r="A18" s="5" t="s">
        <v>14</v>
      </c>
      <c r="B18" s="11" t="n">
        <f aca="false">$B$12/$B$9</f>
        <v>0.05</v>
      </c>
    </row>
    <row r="19" customFormat="false" ht="15" hidden="false" customHeight="true" outlineLevel="0" collapsed="false">
      <c r="A19" s="7" t="s">
        <v>15</v>
      </c>
      <c r="B19" s="12" t="n">
        <f aca="false">ROUNDUP(B17/$B$13,0)</f>
        <v>48</v>
      </c>
    </row>
    <row r="20" customFormat="false" ht="15" hidden="false" customHeight="true" outlineLevel="0" collapsed="false">
      <c r="A20" s="7" t="s">
        <v>16</v>
      </c>
      <c r="B20" s="13" t="n">
        <f aca="true">EDATE(TODAY(),B19)</f>
        <v>47658</v>
      </c>
    </row>
    <row r="22" customFormat="false" ht="15" hidden="false" customHeight="true" outlineLevel="0" collapsed="false">
      <c r="A22" s="4" t="s">
        <v>17</v>
      </c>
    </row>
    <row r="23" customFormat="false" ht="15" hidden="false" customHeight="true" outlineLevel="0" collapsed="false">
      <c r="A23" s="5" t="s">
        <v>18</v>
      </c>
      <c r="B23" s="14" t="n">
        <f aca="false">ROUNDUP(B17/24,0)</f>
        <v>3959</v>
      </c>
    </row>
    <row r="24" customFormat="false" ht="15" hidden="false" customHeight="true" outlineLevel="0" collapsed="false">
      <c r="A24" s="5" t="s">
        <v>19</v>
      </c>
      <c r="B24" s="14" t="n">
        <f aca="false">ROUNDUP(B17/36,0)</f>
        <v>2639</v>
      </c>
    </row>
    <row r="25" customFormat="false" ht="15" hidden="false" customHeight="true" outlineLevel="0" collapsed="false">
      <c r="A25" s="5" t="s">
        <v>20</v>
      </c>
      <c r="B25" s="14" t="n">
        <f aca="false">ROUNDUP(B17/48,0)</f>
        <v>1980</v>
      </c>
    </row>
    <row r="27" customFormat="false" ht="15" hidden="false" customHeight="true" outlineLevel="0" collapsed="false">
      <c r="A27" s="15" t="s">
        <v>21</v>
      </c>
    </row>
    <row r="28" customFormat="false" ht="15" hidden="false" customHeight="true" outlineLevel="0" collapsed="false">
      <c r="A28" s="16" t="s">
        <v>22</v>
      </c>
      <c r="B28" s="16" t="s">
        <v>23</v>
      </c>
      <c r="C28" s="16" t="s">
        <v>24</v>
      </c>
      <c r="D28" s="16" t="s">
        <v>25</v>
      </c>
      <c r="E28" s="16" t="s">
        <v>26</v>
      </c>
    </row>
    <row r="29" customFormat="false" ht="15" hidden="false" customHeight="true" outlineLevel="0" collapsed="false">
      <c r="A29" s="17" t="n">
        <v>1</v>
      </c>
      <c r="B29" s="18"/>
      <c r="C29" s="19"/>
      <c r="D29" s="19"/>
      <c r="E29" s="18"/>
    </row>
    <row r="30" customFormat="false" ht="15" hidden="false" customHeight="true" outlineLevel="0" collapsed="false">
      <c r="A30" s="20" t="n">
        <v>2</v>
      </c>
      <c r="B30" s="21"/>
      <c r="C30" s="19"/>
      <c r="D30" s="19"/>
      <c r="E30" s="21"/>
    </row>
    <row r="31" customFormat="false" ht="15" hidden="false" customHeight="true" outlineLevel="0" collapsed="false">
      <c r="A31" s="17" t="n">
        <v>3</v>
      </c>
      <c r="B31" s="18"/>
      <c r="C31" s="19"/>
      <c r="D31" s="19"/>
      <c r="E31" s="18"/>
    </row>
    <row r="32" customFormat="false" ht="15" hidden="false" customHeight="true" outlineLevel="0" collapsed="false">
      <c r="A32" s="20" t="n">
        <v>4</v>
      </c>
      <c r="B32" s="21"/>
      <c r="C32" s="19"/>
      <c r="D32" s="19"/>
      <c r="E32" s="21"/>
    </row>
    <row r="33" customFormat="false" ht="15" hidden="false" customHeight="true" outlineLevel="0" collapsed="false">
      <c r="A33" s="17" t="n">
        <v>5</v>
      </c>
      <c r="B33" s="18"/>
      <c r="C33" s="19"/>
      <c r="D33" s="19"/>
      <c r="E33" s="18"/>
    </row>
    <row r="34" customFormat="false" ht="15" hidden="false" customHeight="true" outlineLevel="0" collapsed="false">
      <c r="A34" s="20" t="n">
        <v>6</v>
      </c>
      <c r="B34" s="21"/>
      <c r="C34" s="19"/>
      <c r="D34" s="19"/>
      <c r="E34" s="21"/>
    </row>
    <row r="35" customFormat="false" ht="15" hidden="false" customHeight="true" outlineLevel="0" collapsed="false">
      <c r="A35" s="17" t="n">
        <v>7</v>
      </c>
      <c r="B35" s="18"/>
      <c r="C35" s="19"/>
      <c r="D35" s="19"/>
      <c r="E35" s="18"/>
    </row>
    <row r="36" customFormat="false" ht="15" hidden="false" customHeight="true" outlineLevel="0" collapsed="false">
      <c r="A36" s="20" t="n">
        <v>8</v>
      </c>
      <c r="B36" s="21"/>
      <c r="C36" s="19"/>
      <c r="D36" s="19"/>
      <c r="E36" s="21"/>
    </row>
    <row r="37" customFormat="false" ht="15" hidden="false" customHeight="true" outlineLevel="0" collapsed="false">
      <c r="A37" s="17" t="n">
        <v>9</v>
      </c>
      <c r="B37" s="18"/>
      <c r="C37" s="19"/>
      <c r="D37" s="19"/>
      <c r="E37" s="18"/>
    </row>
    <row r="38" customFormat="false" ht="15" hidden="false" customHeight="true" outlineLevel="0" collapsed="false">
      <c r="A38" s="20" t="n">
        <v>10</v>
      </c>
      <c r="B38" s="21"/>
      <c r="C38" s="19"/>
      <c r="D38" s="19"/>
      <c r="E38" s="21"/>
    </row>
    <row r="39" customFormat="false" ht="15" hidden="false" customHeight="true" outlineLevel="0" collapsed="false">
      <c r="A39" s="17" t="n">
        <v>11</v>
      </c>
      <c r="B39" s="18"/>
      <c r="C39" s="19"/>
      <c r="D39" s="19"/>
      <c r="E39" s="18"/>
    </row>
    <row r="40" customFormat="false" ht="15" hidden="false" customHeight="true" outlineLevel="0" collapsed="false">
      <c r="A40" s="20" t="n">
        <v>12</v>
      </c>
      <c r="B40" s="21"/>
      <c r="C40" s="19"/>
      <c r="D40" s="19"/>
      <c r="E40" s="21"/>
    </row>
    <row r="41" customFormat="false" ht="15" hidden="false" customHeight="true" outlineLevel="0" collapsed="false">
      <c r="A41" s="17" t="n">
        <v>13</v>
      </c>
      <c r="B41" s="18"/>
      <c r="C41" s="19"/>
      <c r="D41" s="19"/>
      <c r="E41" s="18"/>
    </row>
    <row r="42" customFormat="false" ht="15" hidden="false" customHeight="true" outlineLevel="0" collapsed="false">
      <c r="A42" s="20" t="n">
        <v>14</v>
      </c>
      <c r="B42" s="21"/>
      <c r="C42" s="19"/>
      <c r="D42" s="19"/>
      <c r="E42" s="21"/>
    </row>
    <row r="43" customFormat="false" ht="15" hidden="false" customHeight="true" outlineLevel="0" collapsed="false">
      <c r="A43" s="17" t="n">
        <v>15</v>
      </c>
      <c r="B43" s="18"/>
      <c r="C43" s="19"/>
      <c r="D43" s="19"/>
      <c r="E43" s="18"/>
    </row>
    <row r="44" customFormat="false" ht="15" hidden="false" customHeight="true" outlineLevel="0" collapsed="false">
      <c r="A44" s="20" t="n">
        <v>16</v>
      </c>
      <c r="B44" s="21"/>
      <c r="C44" s="19"/>
      <c r="D44" s="19"/>
      <c r="E44" s="21"/>
    </row>
    <row r="45" customFormat="false" ht="15" hidden="false" customHeight="true" outlineLevel="0" collapsed="false">
      <c r="A45" s="17" t="n">
        <v>17</v>
      </c>
      <c r="B45" s="18"/>
      <c r="C45" s="19"/>
      <c r="D45" s="19"/>
      <c r="E45" s="18"/>
    </row>
    <row r="46" customFormat="false" ht="15" hidden="false" customHeight="true" outlineLevel="0" collapsed="false">
      <c r="A46" s="20" t="n">
        <v>18</v>
      </c>
      <c r="B46" s="21"/>
      <c r="C46" s="19"/>
      <c r="D46" s="19"/>
      <c r="E46" s="21"/>
    </row>
    <row r="47" customFormat="false" ht="15" hidden="false" customHeight="true" outlineLevel="0" collapsed="false">
      <c r="A47" s="17" t="n">
        <v>19</v>
      </c>
      <c r="B47" s="18"/>
      <c r="C47" s="19"/>
      <c r="D47" s="19"/>
      <c r="E47" s="18"/>
    </row>
    <row r="48" customFormat="false" ht="15" hidden="false" customHeight="true" outlineLevel="0" collapsed="false">
      <c r="A48" s="20" t="n">
        <v>20</v>
      </c>
      <c r="B48" s="21"/>
      <c r="C48" s="19"/>
      <c r="D48" s="19"/>
      <c r="E48" s="21"/>
    </row>
    <row r="49" customFormat="false" ht="15" hidden="false" customHeight="true" outlineLevel="0" collapsed="false">
      <c r="A49" s="17" t="n">
        <v>21</v>
      </c>
      <c r="B49" s="18"/>
      <c r="C49" s="19"/>
      <c r="D49" s="19"/>
      <c r="E49" s="18"/>
    </row>
    <row r="50" customFormat="false" ht="15" hidden="false" customHeight="true" outlineLevel="0" collapsed="false">
      <c r="A50" s="20" t="n">
        <v>22</v>
      </c>
      <c r="B50" s="21"/>
      <c r="C50" s="19"/>
      <c r="D50" s="19"/>
      <c r="E50" s="21"/>
    </row>
    <row r="51" customFormat="false" ht="15" hidden="false" customHeight="true" outlineLevel="0" collapsed="false">
      <c r="A51" s="17" t="n">
        <v>23</v>
      </c>
      <c r="B51" s="18"/>
      <c r="C51" s="19"/>
      <c r="D51" s="19"/>
      <c r="E51" s="18"/>
    </row>
    <row r="52" customFormat="false" ht="15" hidden="false" customHeight="true" outlineLevel="0" collapsed="false">
      <c r="A52" s="20" t="n">
        <v>24</v>
      </c>
      <c r="B52" s="21"/>
      <c r="C52" s="19"/>
      <c r="D52" s="19"/>
      <c r="E52" s="21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6"/>
    <col collapsed="false" customWidth="true" hidden="false" outlineLevel="0" max="3" min="3" style="1" width="44"/>
    <col collapsed="false" customWidth="true" hidden="false" outlineLevel="0" max="4" min="4" style="1" width="14"/>
    <col collapsed="false" customWidth="true" hidden="false" outlineLevel="0" max="5" min="5" style="1" width="9"/>
  </cols>
  <sheetData>
    <row r="1" customFormat="false" ht="17.25" hidden="false" customHeight="true" outlineLevel="0" collapsed="false">
      <c r="A1" s="2" t="s">
        <v>27</v>
      </c>
    </row>
    <row r="2" customFormat="false" ht="15" hidden="false" customHeight="true" outlineLevel="0" collapsed="false">
      <c r="A2" s="3" t="s">
        <v>28</v>
      </c>
    </row>
    <row r="4" customFormat="false" ht="15" hidden="false" customHeight="true" outlineLevel="0" collapsed="false">
      <c r="A4" s="16" t="s">
        <v>29</v>
      </c>
      <c r="B4" s="16" t="s">
        <v>30</v>
      </c>
      <c r="C4" s="16" t="s">
        <v>31</v>
      </c>
      <c r="D4" s="16" t="s">
        <v>32</v>
      </c>
      <c r="E4" s="16" t="s">
        <v>33</v>
      </c>
    </row>
    <row r="5" customFormat="false" ht="15" hidden="false" customHeight="true" outlineLevel="0" collapsed="false">
      <c r="A5" s="17" t="n">
        <v>1</v>
      </c>
      <c r="B5" s="22" t="s">
        <v>34</v>
      </c>
      <c r="C5" s="22" t="s">
        <v>35</v>
      </c>
      <c r="D5" s="23"/>
      <c r="E5" s="24"/>
    </row>
    <row r="6" customFormat="false" ht="15" hidden="false" customHeight="true" outlineLevel="0" collapsed="false">
      <c r="A6" s="17" t="n">
        <v>2</v>
      </c>
      <c r="B6" s="22" t="s">
        <v>36</v>
      </c>
      <c r="C6" s="22" t="s">
        <v>37</v>
      </c>
      <c r="D6" s="23"/>
      <c r="E6" s="24"/>
    </row>
    <row r="7" customFormat="false" ht="15" hidden="false" customHeight="true" outlineLevel="0" collapsed="false">
      <c r="A7" s="17" t="n">
        <v>3</v>
      </c>
      <c r="B7" s="22" t="s">
        <v>38</v>
      </c>
      <c r="C7" s="22" t="s">
        <v>39</v>
      </c>
      <c r="D7" s="23"/>
      <c r="E7" s="24"/>
    </row>
    <row r="8" customFormat="false" ht="15" hidden="false" customHeight="true" outlineLevel="0" collapsed="false">
      <c r="A8" s="17" t="n">
        <v>4</v>
      </c>
      <c r="B8" s="22" t="s">
        <v>40</v>
      </c>
      <c r="C8" s="22" t="s">
        <v>41</v>
      </c>
      <c r="D8" s="23"/>
      <c r="E8" s="24"/>
    </row>
    <row r="9" customFormat="false" ht="15" hidden="false" customHeight="true" outlineLevel="0" collapsed="false">
      <c r="A9" s="17" t="n">
        <v>5</v>
      </c>
      <c r="B9" s="22" t="s">
        <v>42</v>
      </c>
      <c r="C9" s="22" t="s">
        <v>43</v>
      </c>
      <c r="D9" s="23"/>
      <c r="E9" s="24"/>
    </row>
    <row r="10" customFormat="false" ht="15" hidden="false" customHeight="true" outlineLevel="0" collapsed="false">
      <c r="A10" s="17" t="n">
        <v>6</v>
      </c>
      <c r="B10" s="22" t="s">
        <v>44</v>
      </c>
      <c r="C10" s="22" t="s">
        <v>45</v>
      </c>
      <c r="D10" s="23"/>
      <c r="E10" s="24"/>
    </row>
    <row r="11" customFormat="false" ht="15" hidden="false" customHeight="true" outlineLevel="0" collapsed="false">
      <c r="A11" s="17" t="n">
        <v>7</v>
      </c>
      <c r="B11" s="22" t="s">
        <v>46</v>
      </c>
      <c r="C11" s="22" t="s">
        <v>47</v>
      </c>
      <c r="D11" s="23"/>
      <c r="E11" s="24"/>
    </row>
    <row r="12" customFormat="false" ht="15" hidden="false" customHeight="true" outlineLevel="0" collapsed="false">
      <c r="A12" s="17" t="n">
        <v>8</v>
      </c>
      <c r="B12" s="22" t="s">
        <v>48</v>
      </c>
      <c r="C12" s="22" t="s">
        <v>49</v>
      </c>
      <c r="D12" s="23"/>
      <c r="E12" s="24"/>
    </row>
    <row r="13" customFormat="false" ht="15" hidden="false" customHeight="true" outlineLevel="0" collapsed="false">
      <c r="A13" s="17" t="n">
        <v>9</v>
      </c>
      <c r="B13" s="22" t="s">
        <v>50</v>
      </c>
      <c r="C13" s="22" t="s">
        <v>51</v>
      </c>
      <c r="D13" s="23"/>
      <c r="E13" s="24"/>
    </row>
    <row r="15" customFormat="false" ht="15" hidden="false" customHeight="true" outlineLevel="0" collapsed="false">
      <c r="A15" s="25" t="s">
        <v>52</v>
      </c>
      <c r="B15" s="25"/>
      <c r="C15" s="25"/>
      <c r="D15" s="25"/>
      <c r="E15" s="25"/>
    </row>
  </sheetData>
  <mergeCells count="1">
    <mergeCell ref="A15:E1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4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4" topLeftCell="A1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2"/>
    <col collapsed="false" customWidth="true" hidden="false" outlineLevel="0" max="2" min="2" style="1" width="7"/>
    <col collapsed="false" customWidth="true" hidden="false" outlineLevel="0" max="4" min="3" style="1" width="4"/>
    <col collapsed="false" customWidth="true" hidden="false" outlineLevel="0" max="5" min="5" style="1" width="7"/>
    <col collapsed="false" customWidth="true" hidden="false" outlineLevel="0" max="8" min="6" style="1" width="11"/>
    <col collapsed="false" customWidth="true" hidden="false" outlineLevel="0" max="10" min="9" style="1" width="10"/>
    <col collapsed="false" customWidth="true" hidden="false" outlineLevel="0" max="11" min="11" style="1" width="8"/>
    <col collapsed="false" customWidth="true" hidden="false" outlineLevel="0" max="12" min="12" style="1" width="10"/>
    <col collapsed="false" customWidth="true" hidden="false" outlineLevel="0" max="13" min="13" style="1" width="7"/>
    <col collapsed="false" customWidth="true" hidden="false" outlineLevel="0" max="14" min="14" style="1" width="13"/>
    <col collapsed="false" customWidth="true" hidden="false" outlineLevel="0" max="15" min="15" style="1" width="11"/>
    <col collapsed="false" customWidth="true" hidden="false" outlineLevel="0" max="17" min="16" style="1" width="30"/>
  </cols>
  <sheetData>
    <row r="1" customFormat="false" ht="17.25" hidden="false" customHeight="true" outlineLevel="0" collapsed="false">
      <c r="A1" s="2" t="s">
        <v>53</v>
      </c>
    </row>
    <row r="2" customFormat="false" ht="15" hidden="false" customHeight="true" outlineLevel="0" collapsed="false">
      <c r="A2" s="3" t="s">
        <v>54</v>
      </c>
    </row>
    <row r="4" customFormat="false" ht="15" hidden="false" customHeight="true" outlineLevel="0" collapsed="false">
      <c r="A4" s="4" t="s">
        <v>55</v>
      </c>
    </row>
    <row r="5" customFormat="false" ht="15" hidden="false" customHeight="true" outlineLevel="0" collapsed="false">
      <c r="A5" s="5" t="s">
        <v>56</v>
      </c>
      <c r="B5" s="26" t="n">
        <v>0.08</v>
      </c>
    </row>
    <row r="6" customFormat="false" ht="15" hidden="false" customHeight="true" outlineLevel="0" collapsed="false">
      <c r="A6" s="5" t="s">
        <v>57</v>
      </c>
      <c r="B6" s="27" t="n">
        <v>0.25</v>
      </c>
    </row>
    <row r="7" customFormat="false" ht="15" hidden="false" customHeight="true" outlineLevel="0" collapsed="false">
      <c r="A7" s="5" t="s">
        <v>58</v>
      </c>
      <c r="B7" s="26" t="n">
        <v>0.013</v>
      </c>
    </row>
    <row r="8" customFormat="false" ht="15" hidden="false" customHeight="true" outlineLevel="0" collapsed="false">
      <c r="A8" s="5" t="s">
        <v>59</v>
      </c>
      <c r="B8" s="9" t="n">
        <v>95</v>
      </c>
    </row>
    <row r="9" customFormat="false" ht="15" hidden="false" customHeight="true" outlineLevel="0" collapsed="false">
      <c r="A9" s="5" t="s">
        <v>60</v>
      </c>
      <c r="B9" s="9" t="n">
        <v>0</v>
      </c>
    </row>
    <row r="10" customFormat="false" ht="15" hidden="false" customHeight="true" outlineLevel="0" collapsed="false">
      <c r="A10" s="5" t="s">
        <v>61</v>
      </c>
      <c r="B10" s="9" t="n">
        <v>100000</v>
      </c>
    </row>
    <row r="11" customFormat="false" ht="15" hidden="false" customHeight="true" outlineLevel="0" collapsed="false">
      <c r="A11" s="5" t="s">
        <v>62</v>
      </c>
      <c r="B11" s="28" t="n">
        <v>1</v>
      </c>
    </row>
    <row r="14" customFormat="false" ht="15" hidden="false" customHeight="true" outlineLevel="0" collapsed="false">
      <c r="A14" s="16" t="s">
        <v>63</v>
      </c>
      <c r="B14" s="16" t="s">
        <v>64</v>
      </c>
      <c r="C14" s="16" t="s">
        <v>65</v>
      </c>
      <c r="D14" s="16" t="s">
        <v>66</v>
      </c>
      <c r="E14" s="16" t="s">
        <v>67</v>
      </c>
      <c r="F14" s="16" t="s">
        <v>68</v>
      </c>
      <c r="G14" s="16" t="s">
        <v>69</v>
      </c>
      <c r="H14" s="16" t="s">
        <v>70</v>
      </c>
      <c r="I14" s="16" t="s">
        <v>71</v>
      </c>
      <c r="J14" s="16" t="s">
        <v>72</v>
      </c>
      <c r="K14" s="16" t="s">
        <v>73</v>
      </c>
      <c r="L14" s="16" t="s">
        <v>74</v>
      </c>
      <c r="M14" s="16" t="s">
        <v>75</v>
      </c>
      <c r="N14" s="16" t="s">
        <v>76</v>
      </c>
      <c r="O14" s="16" t="s">
        <v>77</v>
      </c>
      <c r="P14" s="16" t="s">
        <v>78</v>
      </c>
      <c r="Q14" s="16" t="s">
        <v>79</v>
      </c>
    </row>
    <row r="15" customFormat="false" ht="15" hidden="false" customHeight="true" outlineLevel="0" collapsed="false">
      <c r="A15" s="29" t="s">
        <v>80</v>
      </c>
      <c r="B15" s="17" t="s">
        <v>81</v>
      </c>
      <c r="C15" s="17" t="n">
        <v>3</v>
      </c>
      <c r="D15" s="17" t="n">
        <v>1</v>
      </c>
      <c r="E15" s="30" t="n">
        <v>825</v>
      </c>
      <c r="F15" s="31" t="n">
        <v>100000</v>
      </c>
      <c r="G15" s="31" t="n">
        <v>1200</v>
      </c>
      <c r="H15" s="6" t="n">
        <f aca="false">F15*(1-$B$6)</f>
        <v>75000</v>
      </c>
      <c r="I15" s="6" t="n">
        <f aca="false">-PMT($B$5/12,360,H15)</f>
        <v>550.323430409532</v>
      </c>
      <c r="J15" s="6" t="n">
        <f aca="false">F15*$B$7/12</f>
        <v>108.333333333333</v>
      </c>
      <c r="K15" s="6" t="n">
        <f aca="false">$B$8</f>
        <v>95</v>
      </c>
      <c r="L15" s="6" t="n">
        <f aca="false">I15+J15+K15+$B$9</f>
        <v>753.656763742866</v>
      </c>
      <c r="M15" s="32" t="n">
        <f aca="false">G15/L15</f>
        <v>1.59223675515161</v>
      </c>
      <c r="N15" s="17" t="str">
        <f aca="false">IF(H15&gt;=$B$10,"Yes","Below floor")</f>
        <v>Below floor</v>
      </c>
      <c r="O15" s="17" t="str">
        <f aca="false">IF(M15&gt;=$B$11,"Yes","No")</f>
        <v>Yes</v>
      </c>
      <c r="P15" s="29" t="str">
        <f aca="false">IF(H15&lt;$B$10,"Bundle/blanket or cash-then-refi",IF(M15&gt;=$B$11,"Kiavi/CV3/local (UWM if 700+)","Re-price or more down"))</f>
        <v>Bundle/blanket or cash-then-refi</v>
      </c>
      <c r="Q15" s="33" t="s">
        <v>82</v>
      </c>
    </row>
    <row r="16" customFormat="false" ht="15" hidden="false" customHeight="true" outlineLevel="0" collapsed="false">
      <c r="A16" s="34" t="s">
        <v>83</v>
      </c>
      <c r="B16" s="20" t="s">
        <v>84</v>
      </c>
      <c r="C16" s="20" t="n">
        <v>4</v>
      </c>
      <c r="D16" s="20" t="n">
        <v>2</v>
      </c>
      <c r="E16" s="35" t="n">
        <v>2496</v>
      </c>
      <c r="F16" s="31" t="n">
        <v>100000</v>
      </c>
      <c r="G16" s="31" t="n">
        <v>1500</v>
      </c>
      <c r="H16" s="36" t="n">
        <f aca="false">F16*(1-$B$6)</f>
        <v>75000</v>
      </c>
      <c r="I16" s="36" t="n">
        <f aca="false">-PMT($B$5/12,360,H16)</f>
        <v>550.323430409532</v>
      </c>
      <c r="J16" s="36" t="n">
        <f aca="false">F16*$B$7/12</f>
        <v>108.333333333333</v>
      </c>
      <c r="K16" s="36" t="n">
        <f aca="false">$B$8</f>
        <v>95</v>
      </c>
      <c r="L16" s="36" t="n">
        <f aca="false">I16+J16+K16+$B$9</f>
        <v>753.656763742866</v>
      </c>
      <c r="M16" s="37" t="n">
        <f aca="false">G16/L16</f>
        <v>1.99029594393951</v>
      </c>
      <c r="N16" s="20" t="str">
        <f aca="false">IF(H16&gt;=$B$10,"Yes","Below floor")</f>
        <v>Below floor</v>
      </c>
      <c r="O16" s="20" t="str">
        <f aca="false">IF(M16&gt;=$B$11,"Yes","No")</f>
        <v>Yes</v>
      </c>
      <c r="P16" s="34" t="str">
        <f aca="false">IF(H16&lt;$B$10,"Bundle/blanket or cash-then-refi",IF(M16&gt;=$B$11,"Kiavi/CV3/local (UWM if 700+)","Re-price or more down"))</f>
        <v>Bundle/blanket or cash-then-refi</v>
      </c>
      <c r="Q16" s="38" t="s">
        <v>85</v>
      </c>
    </row>
    <row r="17" customFormat="false" ht="15" hidden="false" customHeight="true" outlineLevel="0" collapsed="false">
      <c r="A17" s="29" t="s">
        <v>86</v>
      </c>
      <c r="B17" s="17" t="s">
        <v>87</v>
      </c>
      <c r="C17" s="17" t="n">
        <v>2</v>
      </c>
      <c r="D17" s="17" t="n">
        <v>1</v>
      </c>
      <c r="E17" s="30" t="n">
        <v>912</v>
      </c>
      <c r="F17" s="31" t="n">
        <v>100000</v>
      </c>
      <c r="G17" s="31" t="n">
        <v>950</v>
      </c>
      <c r="H17" s="6" t="n">
        <f aca="false">F17*(1-$B$6)</f>
        <v>75000</v>
      </c>
      <c r="I17" s="6" t="n">
        <f aca="false">-PMT($B$5/12,360,H17)</f>
        <v>550.323430409532</v>
      </c>
      <c r="J17" s="6" t="n">
        <f aca="false">F17*$B$7/12</f>
        <v>108.333333333333</v>
      </c>
      <c r="K17" s="6" t="n">
        <f aca="false">$B$8</f>
        <v>95</v>
      </c>
      <c r="L17" s="6" t="n">
        <f aca="false">I17+J17+K17+$B$9</f>
        <v>753.656763742866</v>
      </c>
      <c r="M17" s="32" t="n">
        <f aca="false">G17/L17</f>
        <v>1.26052076449502</v>
      </c>
      <c r="N17" s="17" t="str">
        <f aca="false">IF(H17&gt;=$B$10,"Yes","Below floor")</f>
        <v>Below floor</v>
      </c>
      <c r="O17" s="17" t="str">
        <f aca="false">IF(M17&gt;=$B$11,"Yes","No")</f>
        <v>Yes</v>
      </c>
      <c r="P17" s="29" t="str">
        <f aca="false">IF(H17&lt;$B$10,"Bundle/blanket or cash-then-refi",IF(M17&gt;=$B$11,"Kiavi/CV3/local (UWM if 700+)","Re-price or more down"))</f>
        <v>Bundle/blanket or cash-then-refi</v>
      </c>
      <c r="Q17" s="33" t="s">
        <v>88</v>
      </c>
    </row>
    <row r="18" customFormat="false" ht="15" hidden="false" customHeight="true" outlineLevel="0" collapsed="false">
      <c r="A18" s="34" t="s">
        <v>89</v>
      </c>
      <c r="B18" s="20" t="s">
        <v>90</v>
      </c>
      <c r="C18" s="20" t="n">
        <v>2</v>
      </c>
      <c r="D18" s="20" t="n">
        <v>2</v>
      </c>
      <c r="E18" s="35" t="n">
        <v>864</v>
      </c>
      <c r="F18" s="31" t="n">
        <v>100000</v>
      </c>
      <c r="G18" s="31" t="n">
        <v>975</v>
      </c>
      <c r="H18" s="36" t="n">
        <f aca="false">F18*(1-$B$6)</f>
        <v>75000</v>
      </c>
      <c r="I18" s="36" t="n">
        <f aca="false">-PMT($B$5/12,360,H18)</f>
        <v>550.323430409532</v>
      </c>
      <c r="J18" s="36" t="n">
        <f aca="false">F18*$B$7/12</f>
        <v>108.333333333333</v>
      </c>
      <c r="K18" s="36" t="n">
        <f aca="false">$B$8</f>
        <v>95</v>
      </c>
      <c r="L18" s="36" t="n">
        <f aca="false">I18+J18+K18+$B$9</f>
        <v>753.656763742866</v>
      </c>
      <c r="M18" s="37" t="n">
        <f aca="false">G18/L18</f>
        <v>1.29369236356068</v>
      </c>
      <c r="N18" s="20" t="str">
        <f aca="false">IF(H18&gt;=$B$10,"Yes","Below floor")</f>
        <v>Below floor</v>
      </c>
      <c r="O18" s="20" t="str">
        <f aca="false">IF(M18&gt;=$B$11,"Yes","No")</f>
        <v>Yes</v>
      </c>
      <c r="P18" s="34" t="str">
        <f aca="false">IF(H18&lt;$B$10,"Bundle/blanket or cash-then-refi",IF(M18&gt;=$B$11,"Kiavi/CV3/local (UWM if 700+)","Re-price or more down"))</f>
        <v>Bundle/blanket or cash-then-refi</v>
      </c>
      <c r="Q18" s="38" t="s">
        <v>88</v>
      </c>
    </row>
    <row r="19" customFormat="false" ht="15" hidden="false" customHeight="true" outlineLevel="0" collapsed="false">
      <c r="A19" s="29" t="s">
        <v>91</v>
      </c>
      <c r="B19" s="17" t="s">
        <v>92</v>
      </c>
      <c r="C19" s="17" t="n">
        <v>3</v>
      </c>
      <c r="D19" s="17" t="n">
        <v>1</v>
      </c>
      <c r="E19" s="30" t="n">
        <v>1428</v>
      </c>
      <c r="F19" s="31" t="n">
        <v>100000</v>
      </c>
      <c r="G19" s="31" t="n">
        <v>1150</v>
      </c>
      <c r="H19" s="6" t="n">
        <f aca="false">F19*(1-$B$6)</f>
        <v>75000</v>
      </c>
      <c r="I19" s="6" t="n">
        <f aca="false">-PMT($B$5/12,360,H19)</f>
        <v>550.323430409532</v>
      </c>
      <c r="J19" s="6" t="n">
        <f aca="false">F19*$B$7/12</f>
        <v>108.333333333333</v>
      </c>
      <c r="K19" s="6" t="n">
        <f aca="false">$B$8</f>
        <v>95</v>
      </c>
      <c r="L19" s="6" t="n">
        <f aca="false">I19+J19+K19+$B$9</f>
        <v>753.656763742866</v>
      </c>
      <c r="M19" s="32" t="n">
        <f aca="false">G19/L19</f>
        <v>1.52589355702029</v>
      </c>
      <c r="N19" s="17" t="str">
        <f aca="false">IF(H19&gt;=$B$10,"Yes","Below floor")</f>
        <v>Below floor</v>
      </c>
      <c r="O19" s="17" t="str">
        <f aca="false">IF(M19&gt;=$B$11,"Yes","No")</f>
        <v>Yes</v>
      </c>
      <c r="P19" s="29" t="str">
        <f aca="false">IF(H19&lt;$B$10,"Bundle/blanket or cash-then-refi",IF(M19&gt;=$B$11,"Kiavi/CV3/local (UWM if 700+)","Re-price or more down"))</f>
        <v>Bundle/blanket or cash-then-refi</v>
      </c>
      <c r="Q19" s="33" t="s">
        <v>88</v>
      </c>
    </row>
    <row r="20" customFormat="false" ht="15" hidden="false" customHeight="true" outlineLevel="0" collapsed="false">
      <c r="A20" s="34" t="s">
        <v>93</v>
      </c>
      <c r="B20" s="20" t="s">
        <v>94</v>
      </c>
      <c r="C20" s="20" t="n">
        <v>4</v>
      </c>
      <c r="D20" s="20" t="n">
        <v>2</v>
      </c>
      <c r="E20" s="35" t="n">
        <v>2014</v>
      </c>
      <c r="F20" s="31" t="n">
        <v>102000</v>
      </c>
      <c r="G20" s="31" t="n">
        <v>1300</v>
      </c>
      <c r="H20" s="36" t="n">
        <f aca="false">F20*(1-$B$6)</f>
        <v>76500</v>
      </c>
      <c r="I20" s="36" t="n">
        <f aca="false">-PMT($B$5/12,360,H20)</f>
        <v>561.329899017723</v>
      </c>
      <c r="J20" s="36" t="n">
        <f aca="false">F20*$B$7/12</f>
        <v>110.5</v>
      </c>
      <c r="K20" s="36" t="n">
        <f aca="false">$B$8</f>
        <v>95</v>
      </c>
      <c r="L20" s="36" t="n">
        <f aca="false">I20+J20+K20+$B$9</f>
        <v>766.829899017723</v>
      </c>
      <c r="M20" s="37" t="n">
        <f aca="false">G20/L20</f>
        <v>1.69529122647049</v>
      </c>
      <c r="N20" s="20" t="str">
        <f aca="false">IF(H20&gt;=$B$10,"Yes","Below floor")</f>
        <v>Below floor</v>
      </c>
      <c r="O20" s="20" t="str">
        <f aca="false">IF(M20&gt;=$B$11,"Yes","No")</f>
        <v>Yes</v>
      </c>
      <c r="P20" s="34" t="str">
        <f aca="false">IF(H20&lt;$B$10,"Bundle/blanket or cash-then-refi",IF(M20&gt;=$B$11,"Kiavi/CV3/local (UWM if 700+)","Re-price or more down"))</f>
        <v>Bundle/blanket or cash-then-refi</v>
      </c>
      <c r="Q20" s="38" t="s">
        <v>88</v>
      </c>
    </row>
    <row r="21" customFormat="false" ht="15" hidden="false" customHeight="true" outlineLevel="0" collapsed="false">
      <c r="A21" s="29" t="s">
        <v>95</v>
      </c>
      <c r="B21" s="17" t="s">
        <v>87</v>
      </c>
      <c r="C21" s="17" t="n">
        <v>3</v>
      </c>
      <c r="D21" s="17" t="n">
        <v>1</v>
      </c>
      <c r="E21" s="30" t="n">
        <v>873</v>
      </c>
      <c r="F21" s="31" t="n">
        <v>104900</v>
      </c>
      <c r="G21" s="31" t="n">
        <v>1100</v>
      </c>
      <c r="H21" s="6" t="n">
        <f aca="false">F21*(1-$B$6)</f>
        <v>78675</v>
      </c>
      <c r="I21" s="6" t="n">
        <f aca="false">-PMT($B$5/12,360,H21)</f>
        <v>577.289278499599</v>
      </c>
      <c r="J21" s="6" t="n">
        <f aca="false">F21*$B$7/12</f>
        <v>113.641666666667</v>
      </c>
      <c r="K21" s="6" t="n">
        <f aca="false">$B$8</f>
        <v>95</v>
      </c>
      <c r="L21" s="6" t="n">
        <f aca="false">I21+J21+K21+$B$9</f>
        <v>785.930945166266</v>
      </c>
      <c r="M21" s="32" t="n">
        <f aca="false">G21/L21</f>
        <v>1.3996140586719</v>
      </c>
      <c r="N21" s="17" t="str">
        <f aca="false">IF(H21&gt;=$B$10,"Yes","Below floor")</f>
        <v>Below floor</v>
      </c>
      <c r="O21" s="17" t="str">
        <f aca="false">IF(M21&gt;=$B$11,"Yes","No")</f>
        <v>Yes</v>
      </c>
      <c r="P21" s="29" t="str">
        <f aca="false">IF(H21&lt;$B$10,"Bundle/blanket or cash-then-refi",IF(M21&gt;=$B$11,"Kiavi/CV3/local (UWM if 700+)","Re-price or more down"))</f>
        <v>Bundle/blanket or cash-then-refi</v>
      </c>
      <c r="Q21" s="33" t="s">
        <v>88</v>
      </c>
    </row>
    <row r="22" customFormat="false" ht="15" hidden="false" customHeight="true" outlineLevel="0" collapsed="false">
      <c r="A22" s="34" t="s">
        <v>96</v>
      </c>
      <c r="B22" s="20" t="s">
        <v>87</v>
      </c>
      <c r="C22" s="20" t="n">
        <v>3</v>
      </c>
      <c r="D22" s="20" t="n">
        <v>2</v>
      </c>
      <c r="E22" s="35" t="n">
        <v>1404</v>
      </c>
      <c r="F22" s="31" t="n">
        <v>104900</v>
      </c>
      <c r="G22" s="31" t="n">
        <v>1200</v>
      </c>
      <c r="H22" s="36" t="n">
        <f aca="false">F22*(1-$B$6)</f>
        <v>78675</v>
      </c>
      <c r="I22" s="36" t="n">
        <f aca="false">-PMT($B$5/12,360,H22)</f>
        <v>577.289278499599</v>
      </c>
      <c r="J22" s="36" t="n">
        <f aca="false">F22*$B$7/12</f>
        <v>113.641666666667</v>
      </c>
      <c r="K22" s="36" t="n">
        <f aca="false">$B$8</f>
        <v>95</v>
      </c>
      <c r="L22" s="36" t="n">
        <f aca="false">I22+J22+K22+$B$9</f>
        <v>785.930945166266</v>
      </c>
      <c r="M22" s="37" t="n">
        <f aca="false">G22/L22</f>
        <v>1.52685170036935</v>
      </c>
      <c r="N22" s="20" t="str">
        <f aca="false">IF(H22&gt;=$B$10,"Yes","Below floor")</f>
        <v>Below floor</v>
      </c>
      <c r="O22" s="20" t="str">
        <f aca="false">IF(M22&gt;=$B$11,"Yes","No")</f>
        <v>Yes</v>
      </c>
      <c r="P22" s="34" t="str">
        <f aca="false">IF(H22&lt;$B$10,"Bundle/blanket or cash-then-refi",IF(M22&gt;=$B$11,"Kiavi/CV3/local (UWM if 700+)","Re-price or more down"))</f>
        <v>Bundle/blanket or cash-then-refi</v>
      </c>
      <c r="Q22" s="38" t="s">
        <v>88</v>
      </c>
    </row>
    <row r="23" customFormat="false" ht="15" hidden="false" customHeight="true" outlineLevel="0" collapsed="false">
      <c r="A23" s="29" t="s">
        <v>97</v>
      </c>
      <c r="B23" s="17" t="s">
        <v>98</v>
      </c>
      <c r="C23" s="17" t="n">
        <v>4</v>
      </c>
      <c r="D23" s="17" t="n">
        <v>2.5</v>
      </c>
      <c r="E23" s="30" t="n">
        <v>1650</v>
      </c>
      <c r="F23" s="31" t="n">
        <v>105000</v>
      </c>
      <c r="G23" s="31" t="n">
        <v>1300</v>
      </c>
      <c r="H23" s="6" t="n">
        <f aca="false">F23*(1-$B$6)</f>
        <v>78750</v>
      </c>
      <c r="I23" s="6" t="n">
        <f aca="false">-PMT($B$5/12,360,H23)</f>
        <v>577.839601930009</v>
      </c>
      <c r="J23" s="6" t="n">
        <f aca="false">F23*$B$7/12</f>
        <v>113.75</v>
      </c>
      <c r="K23" s="6" t="n">
        <f aca="false">$B$8</f>
        <v>95</v>
      </c>
      <c r="L23" s="6" t="n">
        <f aca="false">I23+J23+K23+$B$9</f>
        <v>786.589601930009</v>
      </c>
      <c r="M23" s="32" t="n">
        <f aca="false">G23/L23</f>
        <v>1.65270427782196</v>
      </c>
      <c r="N23" s="17" t="str">
        <f aca="false">IF(H23&gt;=$B$10,"Yes","Below floor")</f>
        <v>Below floor</v>
      </c>
      <c r="O23" s="17" t="str">
        <f aca="false">IF(M23&gt;=$B$11,"Yes","No")</f>
        <v>Yes</v>
      </c>
      <c r="P23" s="29" t="str">
        <f aca="false">IF(H23&lt;$B$10,"Bundle/blanket or cash-then-refi",IF(M23&gt;=$B$11,"Kiavi/CV3/local (UWM if 700+)","Re-price or more down"))</f>
        <v>Bundle/blanket or cash-then-refi</v>
      </c>
      <c r="Q23" s="33" t="s">
        <v>88</v>
      </c>
    </row>
    <row r="24" customFormat="false" ht="15" hidden="false" customHeight="true" outlineLevel="0" collapsed="false">
      <c r="A24" s="34" t="s">
        <v>99</v>
      </c>
      <c r="B24" s="20" t="s">
        <v>100</v>
      </c>
      <c r="C24" s="20" t="n">
        <v>4</v>
      </c>
      <c r="D24" s="20" t="n">
        <v>2</v>
      </c>
      <c r="E24" s="35" t="n">
        <v>2146</v>
      </c>
      <c r="F24" s="31" t="n">
        <v>109900</v>
      </c>
      <c r="G24" s="31" t="n">
        <v>1350</v>
      </c>
      <c r="H24" s="36" t="n">
        <f aca="false">F24*(1-$B$6)</f>
        <v>82425</v>
      </c>
      <c r="I24" s="36" t="n">
        <f aca="false">-PMT($B$5/12,360,H24)</f>
        <v>604.805450020076</v>
      </c>
      <c r="J24" s="36" t="n">
        <f aca="false">F24*$B$7/12</f>
        <v>119.058333333333</v>
      </c>
      <c r="K24" s="36" t="n">
        <f aca="false">$B$8</f>
        <v>95</v>
      </c>
      <c r="L24" s="36" t="n">
        <f aca="false">I24+J24+K24+$B$9</f>
        <v>818.863783353409</v>
      </c>
      <c r="M24" s="37" t="n">
        <f aca="false">G24/L24</f>
        <v>1.64862584894338</v>
      </c>
      <c r="N24" s="20" t="str">
        <f aca="false">IF(H24&gt;=$B$10,"Yes","Below floor")</f>
        <v>Below floor</v>
      </c>
      <c r="O24" s="20" t="str">
        <f aca="false">IF(M24&gt;=$B$11,"Yes","No")</f>
        <v>Yes</v>
      </c>
      <c r="P24" s="34" t="str">
        <f aca="false">IF(H24&lt;$B$10,"Bundle/blanket or cash-then-refi",IF(M24&gt;=$B$11,"Kiavi/CV3/local (UWM if 700+)","Re-price or more down"))</f>
        <v>Bundle/blanket or cash-then-refi</v>
      </c>
      <c r="Q24" s="38" t="s">
        <v>88</v>
      </c>
    </row>
    <row r="25" customFormat="false" ht="15" hidden="false" customHeight="true" outlineLevel="0" collapsed="false">
      <c r="A25" s="29" t="s">
        <v>101</v>
      </c>
      <c r="B25" s="17" t="s">
        <v>102</v>
      </c>
      <c r="C25" s="17" t="n">
        <v>3</v>
      </c>
      <c r="D25" s="17" t="n">
        <v>1</v>
      </c>
      <c r="E25" s="30" t="n">
        <v>1544</v>
      </c>
      <c r="F25" s="31" t="n">
        <v>130000</v>
      </c>
      <c r="G25" s="31" t="n">
        <v>1150</v>
      </c>
      <c r="H25" s="6" t="n">
        <f aca="false">F25*(1-$B$6)</f>
        <v>97500</v>
      </c>
      <c r="I25" s="6" t="n">
        <f aca="false">-PMT($B$5/12,360,H25)</f>
        <v>715.420459532392</v>
      </c>
      <c r="J25" s="6" t="n">
        <f aca="false">F25*$B$7/12</f>
        <v>140.833333333333</v>
      </c>
      <c r="K25" s="6" t="n">
        <f aca="false">$B$8</f>
        <v>95</v>
      </c>
      <c r="L25" s="6" t="n">
        <f aca="false">I25+J25+K25+$B$9</f>
        <v>951.253792865725</v>
      </c>
      <c r="M25" s="32" t="n">
        <f aca="false">G25/L25</f>
        <v>1.20893079073623</v>
      </c>
      <c r="N25" s="17" t="str">
        <f aca="false">IF(H25&gt;=$B$10,"Yes","Below floor")</f>
        <v>Below floor</v>
      </c>
      <c r="O25" s="17" t="str">
        <f aca="false">IF(M25&gt;=$B$11,"Yes","No")</f>
        <v>Yes</v>
      </c>
      <c r="P25" s="29" t="str">
        <f aca="false">IF(H25&lt;$B$10,"Bundle/blanket or cash-then-refi",IF(M25&gt;=$B$11,"Kiavi/CV3/local (UWM if 700+)","Re-price or more down"))</f>
        <v>Bundle/blanket or cash-then-refi</v>
      </c>
      <c r="Q25" s="33" t="s">
        <v>103</v>
      </c>
    </row>
    <row r="26" customFormat="false" ht="15" hidden="false" customHeight="true" outlineLevel="0" collapsed="false">
      <c r="A26" s="34" t="s">
        <v>104</v>
      </c>
      <c r="B26" s="20" t="s">
        <v>102</v>
      </c>
      <c r="C26" s="20" t="n">
        <v>3</v>
      </c>
      <c r="D26" s="20" t="n">
        <v>1.5</v>
      </c>
      <c r="E26" s="35" t="n">
        <v>1040</v>
      </c>
      <c r="F26" s="31" t="n">
        <v>130000</v>
      </c>
      <c r="G26" s="31" t="n">
        <v>1150</v>
      </c>
      <c r="H26" s="36" t="n">
        <f aca="false">F26*(1-$B$6)</f>
        <v>97500</v>
      </c>
      <c r="I26" s="36" t="n">
        <f aca="false">-PMT($B$5/12,360,H26)</f>
        <v>715.420459532392</v>
      </c>
      <c r="J26" s="36" t="n">
        <f aca="false">F26*$B$7/12</f>
        <v>140.833333333333</v>
      </c>
      <c r="K26" s="36" t="n">
        <f aca="false">$B$8</f>
        <v>95</v>
      </c>
      <c r="L26" s="36" t="n">
        <f aca="false">I26+J26+K26+$B$9</f>
        <v>951.253792865725</v>
      </c>
      <c r="M26" s="37" t="n">
        <f aca="false">G26/L26</f>
        <v>1.20893079073623</v>
      </c>
      <c r="N26" s="20" t="str">
        <f aca="false">IF(H26&gt;=$B$10,"Yes","Below floor")</f>
        <v>Below floor</v>
      </c>
      <c r="O26" s="20" t="str">
        <f aca="false">IF(M26&gt;=$B$11,"Yes","No")</f>
        <v>Yes</v>
      </c>
      <c r="P26" s="34" t="str">
        <f aca="false">IF(H26&lt;$B$10,"Bundle/blanket or cash-then-refi",IF(M26&gt;=$B$11,"Kiavi/CV3/local (UWM if 700+)","Re-price or more down"))</f>
        <v>Bundle/blanket or cash-then-refi</v>
      </c>
      <c r="Q26" s="38" t="s">
        <v>88</v>
      </c>
    </row>
    <row r="27" customFormat="false" ht="15" hidden="false" customHeight="true" outlineLevel="0" collapsed="false">
      <c r="A27" s="29" t="s">
        <v>105</v>
      </c>
      <c r="B27" s="17" t="s">
        <v>87</v>
      </c>
      <c r="C27" s="17" t="n">
        <v>2</v>
      </c>
      <c r="D27" s="17" t="n">
        <v>1</v>
      </c>
      <c r="E27" s="30" t="n">
        <v>982</v>
      </c>
      <c r="F27" s="31" t="n">
        <v>130000</v>
      </c>
      <c r="G27" s="31" t="n">
        <v>1050</v>
      </c>
      <c r="H27" s="6" t="n">
        <f aca="false">F27*(1-$B$6)</f>
        <v>97500</v>
      </c>
      <c r="I27" s="6" t="n">
        <f aca="false">-PMT($B$5/12,360,H27)</f>
        <v>715.420459532392</v>
      </c>
      <c r="J27" s="6" t="n">
        <f aca="false">F27*$B$7/12</f>
        <v>140.833333333333</v>
      </c>
      <c r="K27" s="6" t="n">
        <f aca="false">$B$8</f>
        <v>95</v>
      </c>
      <c r="L27" s="6" t="n">
        <f aca="false">I27+J27+K27+$B$9</f>
        <v>951.253792865725</v>
      </c>
      <c r="M27" s="32" t="n">
        <f aca="false">G27/L27</f>
        <v>1.10380637415047</v>
      </c>
      <c r="N27" s="17" t="str">
        <f aca="false">IF(H27&gt;=$B$10,"Yes","Below floor")</f>
        <v>Below floor</v>
      </c>
      <c r="O27" s="17" t="str">
        <f aca="false">IF(M27&gt;=$B$11,"Yes","No")</f>
        <v>Yes</v>
      </c>
      <c r="P27" s="29" t="str">
        <f aca="false">IF(H27&lt;$B$10,"Bundle/blanket or cash-then-refi",IF(M27&gt;=$B$11,"Kiavi/CV3/local (UWM if 700+)","Re-price or more down"))</f>
        <v>Bundle/blanket or cash-then-refi</v>
      </c>
      <c r="Q27" s="33" t="s">
        <v>106</v>
      </c>
    </row>
    <row r="28" customFormat="false" ht="15" hidden="false" customHeight="true" outlineLevel="0" collapsed="false">
      <c r="A28" s="34" t="s">
        <v>107</v>
      </c>
      <c r="B28" s="20" t="s">
        <v>108</v>
      </c>
      <c r="C28" s="20" t="n">
        <v>3</v>
      </c>
      <c r="D28" s="20" t="n">
        <v>2</v>
      </c>
      <c r="E28" s="35" t="n">
        <v>1760</v>
      </c>
      <c r="F28" s="31" t="n">
        <v>130000</v>
      </c>
      <c r="G28" s="31" t="n">
        <v>1300</v>
      </c>
      <c r="H28" s="36" t="n">
        <f aca="false">F28*(1-$B$6)</f>
        <v>97500</v>
      </c>
      <c r="I28" s="36" t="n">
        <f aca="false">-PMT($B$5/12,360,H28)</f>
        <v>715.420459532392</v>
      </c>
      <c r="J28" s="36" t="n">
        <f aca="false">F28*$B$7/12</f>
        <v>140.833333333333</v>
      </c>
      <c r="K28" s="36" t="n">
        <f aca="false">$B$8</f>
        <v>95</v>
      </c>
      <c r="L28" s="36" t="n">
        <f aca="false">I28+J28+K28+$B$9</f>
        <v>951.253792865725</v>
      </c>
      <c r="M28" s="37" t="n">
        <f aca="false">G28/L28</f>
        <v>1.36661741561487</v>
      </c>
      <c r="N28" s="20" t="str">
        <f aca="false">IF(H28&gt;=$B$10,"Yes","Below floor")</f>
        <v>Below floor</v>
      </c>
      <c r="O28" s="20" t="str">
        <f aca="false">IF(M28&gt;=$B$11,"Yes","No")</f>
        <v>Yes</v>
      </c>
      <c r="P28" s="34" t="str">
        <f aca="false">IF(H28&lt;$B$10,"Bundle/blanket or cash-then-refi",IF(M28&gt;=$B$11,"Kiavi/CV3/local (UWM if 700+)","Re-price or more down"))</f>
        <v>Bundle/blanket or cash-then-refi</v>
      </c>
      <c r="Q28" s="38" t="s">
        <v>88</v>
      </c>
    </row>
    <row r="29" customFormat="false" ht="15" hidden="false" customHeight="true" outlineLevel="0" collapsed="false">
      <c r="A29" s="29" t="s">
        <v>109</v>
      </c>
      <c r="B29" s="17" t="s">
        <v>110</v>
      </c>
      <c r="C29" s="17" t="n">
        <v>4</v>
      </c>
      <c r="D29" s="17" t="n">
        <v>1</v>
      </c>
      <c r="E29" s="30" t="n">
        <v>1451</v>
      </c>
      <c r="F29" s="31" t="n">
        <v>130000</v>
      </c>
      <c r="G29" s="31" t="n">
        <v>1300</v>
      </c>
      <c r="H29" s="6" t="n">
        <f aca="false">F29*(1-$B$6)</f>
        <v>97500</v>
      </c>
      <c r="I29" s="6" t="n">
        <f aca="false">-PMT($B$5/12,360,H29)</f>
        <v>715.420459532392</v>
      </c>
      <c r="J29" s="6" t="n">
        <f aca="false">F29*$B$7/12</f>
        <v>140.833333333333</v>
      </c>
      <c r="K29" s="6" t="n">
        <f aca="false">$B$8</f>
        <v>95</v>
      </c>
      <c r="L29" s="6" t="n">
        <f aca="false">I29+J29+K29+$B$9</f>
        <v>951.253792865725</v>
      </c>
      <c r="M29" s="32" t="n">
        <f aca="false">G29/L29</f>
        <v>1.36661741561487</v>
      </c>
      <c r="N29" s="17" t="str">
        <f aca="false">IF(H29&gt;=$B$10,"Yes","Below floor")</f>
        <v>Below floor</v>
      </c>
      <c r="O29" s="17" t="str">
        <f aca="false">IF(M29&gt;=$B$11,"Yes","No")</f>
        <v>Yes</v>
      </c>
      <c r="P29" s="29" t="str">
        <f aca="false">IF(H29&lt;$B$10,"Bundle/blanket or cash-then-refi",IF(M29&gt;=$B$11,"Kiavi/CV3/local (UWM if 700+)","Re-price or more down"))</f>
        <v>Bundle/blanket or cash-then-refi</v>
      </c>
      <c r="Q29" s="33" t="s">
        <v>88</v>
      </c>
    </row>
    <row r="30" customFormat="false" ht="15" hidden="false" customHeight="true" outlineLevel="0" collapsed="false">
      <c r="A30" s="34" t="s">
        <v>111</v>
      </c>
      <c r="B30" s="20" t="s">
        <v>100</v>
      </c>
      <c r="C30" s="20" t="n">
        <v>3</v>
      </c>
      <c r="D30" s="20" t="n">
        <v>2</v>
      </c>
      <c r="E30" s="35" t="n">
        <v>1536</v>
      </c>
      <c r="F30" s="31" t="n">
        <v>135000</v>
      </c>
      <c r="G30" s="31" t="n">
        <v>1300</v>
      </c>
      <c r="H30" s="36" t="n">
        <f aca="false">F30*(1-$B$6)</f>
        <v>101250</v>
      </c>
      <c r="I30" s="36" t="n">
        <f aca="false">-PMT($B$5/12,360,H30)</f>
        <v>742.936631052868</v>
      </c>
      <c r="J30" s="36" t="n">
        <f aca="false">F30*$B$7/12</f>
        <v>146.25</v>
      </c>
      <c r="K30" s="36" t="n">
        <f aca="false">$B$8</f>
        <v>95</v>
      </c>
      <c r="L30" s="36" t="n">
        <f aca="false">I30+J30+K30+$B$9</f>
        <v>984.186631052868</v>
      </c>
      <c r="M30" s="37" t="n">
        <f aca="false">G30/L30</f>
        <v>1.32088768428939</v>
      </c>
      <c r="N30" s="20" t="str">
        <f aca="false">IF(H30&gt;=$B$10,"Yes","Below floor")</f>
        <v>Yes</v>
      </c>
      <c r="O30" s="20" t="str">
        <f aca="false">IF(M30&gt;=$B$11,"Yes","No")</f>
        <v>Yes</v>
      </c>
      <c r="P30" s="34" t="str">
        <f aca="false">IF(H30&lt;$B$10,"Bundle/blanket or cash-then-refi",IF(M30&gt;=$B$11,"Kiavi/CV3/local (UWM if 700+)","Re-price or more down"))</f>
        <v>Kiavi/CV3/local (UWM if 700+)</v>
      </c>
      <c r="Q30" s="38" t="s">
        <v>88</v>
      </c>
    </row>
    <row r="31" customFormat="false" ht="15" hidden="false" customHeight="true" outlineLevel="0" collapsed="false">
      <c r="A31" s="29" t="s">
        <v>112</v>
      </c>
      <c r="B31" s="17" t="s">
        <v>92</v>
      </c>
      <c r="C31" s="17" t="n">
        <v>3</v>
      </c>
      <c r="D31" s="17" t="n">
        <v>2</v>
      </c>
      <c r="E31" s="30" t="n">
        <v>1463</v>
      </c>
      <c r="F31" s="31" t="n">
        <v>135000</v>
      </c>
      <c r="G31" s="31" t="n">
        <v>1300</v>
      </c>
      <c r="H31" s="6" t="n">
        <f aca="false">F31*(1-$B$6)</f>
        <v>101250</v>
      </c>
      <c r="I31" s="6" t="n">
        <f aca="false">-PMT($B$5/12,360,H31)</f>
        <v>742.936631052868</v>
      </c>
      <c r="J31" s="6" t="n">
        <f aca="false">F31*$B$7/12</f>
        <v>146.25</v>
      </c>
      <c r="K31" s="6" t="n">
        <f aca="false">$B$8</f>
        <v>95</v>
      </c>
      <c r="L31" s="6" t="n">
        <f aca="false">I31+J31+K31+$B$9</f>
        <v>984.186631052868</v>
      </c>
      <c r="M31" s="32" t="n">
        <f aca="false">G31/L31</f>
        <v>1.32088768428939</v>
      </c>
      <c r="N31" s="17" t="str">
        <f aca="false">IF(H31&gt;=$B$10,"Yes","Below floor")</f>
        <v>Yes</v>
      </c>
      <c r="O31" s="17" t="str">
        <f aca="false">IF(M31&gt;=$B$11,"Yes","No")</f>
        <v>Yes</v>
      </c>
      <c r="P31" s="29" t="str">
        <f aca="false">IF(H31&lt;$B$10,"Bundle/blanket or cash-then-refi",IF(M31&gt;=$B$11,"Kiavi/CV3/local (UWM if 700+)","Re-price or more down"))</f>
        <v>Kiavi/CV3/local (UWM if 700+)</v>
      </c>
      <c r="Q31" s="33" t="s">
        <v>88</v>
      </c>
    </row>
    <row r="32" customFormat="false" ht="15" hidden="false" customHeight="true" outlineLevel="0" collapsed="false">
      <c r="A32" s="34" t="s">
        <v>113</v>
      </c>
      <c r="B32" s="20" t="s">
        <v>114</v>
      </c>
      <c r="C32" s="20" t="n">
        <v>4</v>
      </c>
      <c r="D32" s="20" t="n">
        <v>4</v>
      </c>
      <c r="E32" s="35" t="n">
        <v>3430</v>
      </c>
      <c r="F32" s="31" t="n">
        <v>135000</v>
      </c>
      <c r="G32" s="31" t="n">
        <v>1600</v>
      </c>
      <c r="H32" s="36" t="n">
        <f aca="false">F32*(1-$B$6)</f>
        <v>101250</v>
      </c>
      <c r="I32" s="36" t="n">
        <f aca="false">-PMT($B$5/12,360,H32)</f>
        <v>742.936631052868</v>
      </c>
      <c r="J32" s="36" t="n">
        <f aca="false">F32*$B$7/12</f>
        <v>146.25</v>
      </c>
      <c r="K32" s="36" t="n">
        <f aca="false">$B$8</f>
        <v>95</v>
      </c>
      <c r="L32" s="36" t="n">
        <f aca="false">I32+J32+K32+$B$9</f>
        <v>984.186631052868</v>
      </c>
      <c r="M32" s="37" t="n">
        <f aca="false">G32/L32</f>
        <v>1.6257079191254</v>
      </c>
      <c r="N32" s="20" t="str">
        <f aca="false">IF(H32&gt;=$B$10,"Yes","Below floor")</f>
        <v>Yes</v>
      </c>
      <c r="O32" s="20" t="str">
        <f aca="false">IF(M32&gt;=$B$11,"Yes","No")</f>
        <v>Yes</v>
      </c>
      <c r="P32" s="34" t="str">
        <f aca="false">IF(H32&lt;$B$10,"Bundle/blanket or cash-then-refi",IF(M32&gt;=$B$11,"Kiavi/CV3/local (UWM if 700+)","Re-price or more down"))</f>
        <v>Kiavi/CV3/local (UWM if 700+)</v>
      </c>
      <c r="Q32" s="38" t="s">
        <v>115</v>
      </c>
    </row>
    <row r="33" customFormat="false" ht="15" hidden="false" customHeight="true" outlineLevel="0" collapsed="false">
      <c r="A33" s="29" t="s">
        <v>116</v>
      </c>
      <c r="B33" s="17" t="s">
        <v>90</v>
      </c>
      <c r="C33" s="17" t="n">
        <v>3</v>
      </c>
      <c r="D33" s="17" t="n">
        <v>2.5</v>
      </c>
      <c r="E33" s="30" t="n">
        <v>1053</v>
      </c>
      <c r="F33" s="31" t="n">
        <v>139000</v>
      </c>
      <c r="G33" s="31" t="n">
        <v>1250</v>
      </c>
      <c r="H33" s="6" t="n">
        <f aca="false">F33*(1-$B$6)</f>
        <v>104250</v>
      </c>
      <c r="I33" s="6" t="n">
        <f aca="false">-PMT($B$5/12,360,H33)</f>
        <v>764.94956826925</v>
      </c>
      <c r="J33" s="6" t="n">
        <f aca="false">F33*$B$7/12</f>
        <v>150.583333333333</v>
      </c>
      <c r="K33" s="6" t="n">
        <f aca="false">$B$8</f>
        <v>95</v>
      </c>
      <c r="L33" s="6" t="n">
        <f aca="false">I33+J33+K33+$B$9</f>
        <v>1010.53290160258</v>
      </c>
      <c r="M33" s="32" t="n">
        <f aca="false">G33/L33</f>
        <v>1.23697110506511</v>
      </c>
      <c r="N33" s="17" t="str">
        <f aca="false">IF(H33&gt;=$B$10,"Yes","Below floor")</f>
        <v>Yes</v>
      </c>
      <c r="O33" s="17" t="str">
        <f aca="false">IF(M33&gt;=$B$11,"Yes","No")</f>
        <v>Yes</v>
      </c>
      <c r="P33" s="29" t="str">
        <f aca="false">IF(H33&lt;$B$10,"Bundle/blanket or cash-then-refi",IF(M33&gt;=$B$11,"Kiavi/CV3/local (UWM if 700+)","Re-price or more down"))</f>
        <v>Kiavi/CV3/local (UWM if 700+)</v>
      </c>
      <c r="Q33" s="33" t="s">
        <v>88</v>
      </c>
    </row>
    <row r="34" customFormat="false" ht="15" hidden="false" customHeight="true" outlineLevel="0" collapsed="false">
      <c r="A34" s="34" t="s">
        <v>117</v>
      </c>
      <c r="B34" s="20" t="s">
        <v>92</v>
      </c>
      <c r="C34" s="20" t="n">
        <v>3</v>
      </c>
      <c r="D34" s="20" t="n">
        <v>2</v>
      </c>
      <c r="E34" s="35" t="n">
        <v>1038</v>
      </c>
      <c r="F34" s="31" t="n">
        <v>139900</v>
      </c>
      <c r="G34" s="31" t="n">
        <v>1300</v>
      </c>
      <c r="H34" s="36" t="n">
        <f aca="false">F34*(1-$B$6)</f>
        <v>104925</v>
      </c>
      <c r="I34" s="36" t="n">
        <f aca="false">-PMT($B$5/12,360,H34)</f>
        <v>769.902479142935</v>
      </c>
      <c r="J34" s="36" t="n">
        <f aca="false">F34*$B$7/12</f>
        <v>151.558333333333</v>
      </c>
      <c r="K34" s="36" t="n">
        <f aca="false">$B$8</f>
        <v>95</v>
      </c>
      <c r="L34" s="36" t="n">
        <f aca="false">I34+J34+K34+$B$9</f>
        <v>1016.46081247627</v>
      </c>
      <c r="M34" s="37" t="n">
        <f aca="false">G34/L34</f>
        <v>1.27894748527785</v>
      </c>
      <c r="N34" s="20" t="str">
        <f aca="false">IF(H34&gt;=$B$10,"Yes","Below floor")</f>
        <v>Yes</v>
      </c>
      <c r="O34" s="20" t="str">
        <f aca="false">IF(M34&gt;=$B$11,"Yes","No")</f>
        <v>Yes</v>
      </c>
      <c r="P34" s="34" t="str">
        <f aca="false">IF(H34&lt;$B$10,"Bundle/blanket or cash-then-refi",IF(M34&gt;=$B$11,"Kiavi/CV3/local (UWM if 700+)","Re-price or more down"))</f>
        <v>Kiavi/CV3/local (UWM if 700+)</v>
      </c>
      <c r="Q34" s="38" t="s">
        <v>88</v>
      </c>
    </row>
    <row r="35" customFormat="false" ht="15" hidden="false" customHeight="true" outlineLevel="0" collapsed="false">
      <c r="A35" s="29" t="s">
        <v>118</v>
      </c>
      <c r="B35" s="17" t="s">
        <v>100</v>
      </c>
      <c r="C35" s="17" t="n">
        <v>3</v>
      </c>
      <c r="D35" s="17" t="n">
        <v>1</v>
      </c>
      <c r="E35" s="30" t="n">
        <v>1304</v>
      </c>
      <c r="F35" s="31" t="n">
        <v>139900</v>
      </c>
      <c r="G35" s="31" t="n">
        <v>1250</v>
      </c>
      <c r="H35" s="6" t="n">
        <f aca="false">F35*(1-$B$6)</f>
        <v>104925</v>
      </c>
      <c r="I35" s="6" t="n">
        <f aca="false">-PMT($B$5/12,360,H35)</f>
        <v>769.902479142935</v>
      </c>
      <c r="J35" s="6" t="n">
        <f aca="false">F35*$B$7/12</f>
        <v>151.558333333333</v>
      </c>
      <c r="K35" s="6" t="n">
        <f aca="false">$B$8</f>
        <v>95</v>
      </c>
      <c r="L35" s="6" t="n">
        <f aca="false">I35+J35+K35+$B$9</f>
        <v>1016.46081247627</v>
      </c>
      <c r="M35" s="32" t="n">
        <f aca="false">G35/L35</f>
        <v>1.22975719738254</v>
      </c>
      <c r="N35" s="17" t="str">
        <f aca="false">IF(H35&gt;=$B$10,"Yes","Below floor")</f>
        <v>Yes</v>
      </c>
      <c r="O35" s="17" t="str">
        <f aca="false">IF(M35&gt;=$B$11,"Yes","No")</f>
        <v>Yes</v>
      </c>
      <c r="P35" s="29" t="str">
        <f aca="false">IF(H35&lt;$B$10,"Bundle/blanket or cash-then-refi",IF(M35&gt;=$B$11,"Kiavi/CV3/local (UWM if 700+)","Re-price or more down"))</f>
        <v>Kiavi/CV3/local (UWM if 700+)</v>
      </c>
      <c r="Q35" s="33" t="s">
        <v>88</v>
      </c>
    </row>
    <row r="36" customFormat="false" ht="15" hidden="false" customHeight="true" outlineLevel="0" collapsed="false">
      <c r="A36" s="34" t="s">
        <v>119</v>
      </c>
      <c r="B36" s="20" t="s">
        <v>100</v>
      </c>
      <c r="C36" s="20" t="n">
        <v>3</v>
      </c>
      <c r="D36" s="20" t="n">
        <v>1.5</v>
      </c>
      <c r="E36" s="35" t="n">
        <v>1200</v>
      </c>
      <c r="F36" s="31" t="n">
        <v>139000</v>
      </c>
      <c r="G36" s="31" t="n">
        <v>1250</v>
      </c>
      <c r="H36" s="36" t="n">
        <f aca="false">F36*(1-$B$6)</f>
        <v>104250</v>
      </c>
      <c r="I36" s="36" t="n">
        <f aca="false">-PMT($B$5/12,360,H36)</f>
        <v>764.94956826925</v>
      </c>
      <c r="J36" s="36" t="n">
        <f aca="false">F36*$B$7/12</f>
        <v>150.583333333333</v>
      </c>
      <c r="K36" s="36" t="n">
        <f aca="false">$B$8</f>
        <v>95</v>
      </c>
      <c r="L36" s="36" t="n">
        <f aca="false">I36+J36+K36+$B$9</f>
        <v>1010.53290160258</v>
      </c>
      <c r="M36" s="37" t="n">
        <f aca="false">G36/L36</f>
        <v>1.23697110506511</v>
      </c>
      <c r="N36" s="20" t="str">
        <f aca="false">IF(H36&gt;=$B$10,"Yes","Below floor")</f>
        <v>Yes</v>
      </c>
      <c r="O36" s="20" t="str">
        <f aca="false">IF(M36&gt;=$B$11,"Yes","No")</f>
        <v>Yes</v>
      </c>
      <c r="P36" s="34" t="str">
        <f aca="false">IF(H36&lt;$B$10,"Bundle/blanket or cash-then-refi",IF(M36&gt;=$B$11,"Kiavi/CV3/local (UWM if 700+)","Re-price or more down"))</f>
        <v>Kiavi/CV3/local (UWM if 700+)</v>
      </c>
      <c r="Q36" s="38" t="s">
        <v>88</v>
      </c>
    </row>
    <row r="37" customFormat="false" ht="15" hidden="false" customHeight="true" outlineLevel="0" collapsed="false">
      <c r="A37" s="29" t="s">
        <v>120</v>
      </c>
      <c r="B37" s="17" t="s">
        <v>102</v>
      </c>
      <c r="C37" s="17" t="n">
        <v>3</v>
      </c>
      <c r="D37" s="17" t="n">
        <v>2</v>
      </c>
      <c r="E37" s="30" t="n">
        <v>1036</v>
      </c>
      <c r="F37" s="31" t="n">
        <v>139900</v>
      </c>
      <c r="G37" s="31" t="n">
        <v>1200</v>
      </c>
      <c r="H37" s="6" t="n">
        <f aca="false">F37*(1-$B$6)</f>
        <v>104925</v>
      </c>
      <c r="I37" s="6" t="n">
        <f aca="false">-PMT($B$5/12,360,H37)</f>
        <v>769.902479142935</v>
      </c>
      <c r="J37" s="6" t="n">
        <f aca="false">F37*$B$7/12</f>
        <v>151.558333333333</v>
      </c>
      <c r="K37" s="6" t="n">
        <f aca="false">$B$8</f>
        <v>95</v>
      </c>
      <c r="L37" s="6" t="n">
        <f aca="false">I37+J37+K37+$B$9</f>
        <v>1016.46081247627</v>
      </c>
      <c r="M37" s="32" t="n">
        <f aca="false">G37/L37</f>
        <v>1.18056690948724</v>
      </c>
      <c r="N37" s="17" t="str">
        <f aca="false">IF(H37&gt;=$B$10,"Yes","Below floor")</f>
        <v>Yes</v>
      </c>
      <c r="O37" s="17" t="str">
        <f aca="false">IF(M37&gt;=$B$11,"Yes","No")</f>
        <v>Yes</v>
      </c>
      <c r="P37" s="29" t="str">
        <f aca="false">IF(H37&lt;$B$10,"Bundle/blanket or cash-then-refi",IF(M37&gt;=$B$11,"Kiavi/CV3/local (UWM if 700+)","Re-price or more down"))</f>
        <v>Kiavi/CV3/local (UWM if 700+)</v>
      </c>
      <c r="Q37" s="33" t="s">
        <v>88</v>
      </c>
    </row>
    <row r="38" customFormat="false" ht="15" hidden="false" customHeight="true" outlineLevel="0" collapsed="false">
      <c r="A38" s="34" t="s">
        <v>121</v>
      </c>
      <c r="B38" s="20" t="s">
        <v>84</v>
      </c>
      <c r="C38" s="20" t="n">
        <v>3</v>
      </c>
      <c r="D38" s="20" t="n">
        <v>1</v>
      </c>
      <c r="E38" s="35" t="n">
        <v>1568</v>
      </c>
      <c r="F38" s="31" t="n">
        <v>139900</v>
      </c>
      <c r="G38" s="31" t="n">
        <v>1200</v>
      </c>
      <c r="H38" s="36" t="n">
        <f aca="false">F38*(1-$B$6)</f>
        <v>104925</v>
      </c>
      <c r="I38" s="36" t="n">
        <f aca="false">-PMT($B$5/12,360,H38)</f>
        <v>769.902479142935</v>
      </c>
      <c r="J38" s="36" t="n">
        <f aca="false">F38*$B$7/12</f>
        <v>151.558333333333</v>
      </c>
      <c r="K38" s="36" t="n">
        <f aca="false">$B$8</f>
        <v>95</v>
      </c>
      <c r="L38" s="36" t="n">
        <f aca="false">I38+J38+K38+$B$9</f>
        <v>1016.46081247627</v>
      </c>
      <c r="M38" s="37" t="n">
        <f aca="false">G38/L38</f>
        <v>1.18056690948724</v>
      </c>
      <c r="N38" s="20" t="str">
        <f aca="false">IF(H38&gt;=$B$10,"Yes","Below floor")</f>
        <v>Yes</v>
      </c>
      <c r="O38" s="20" t="str">
        <f aca="false">IF(M38&gt;=$B$11,"Yes","No")</f>
        <v>Yes</v>
      </c>
      <c r="P38" s="34" t="str">
        <f aca="false">IF(H38&lt;$B$10,"Bundle/blanket or cash-then-refi",IF(M38&gt;=$B$11,"Kiavi/CV3/local (UWM if 700+)","Re-price or more down"))</f>
        <v>Kiavi/CV3/local (UWM if 700+)</v>
      </c>
      <c r="Q38" s="38" t="s">
        <v>88</v>
      </c>
    </row>
    <row r="40" customFormat="false" ht="15" hidden="false" customHeight="true" outlineLevel="0" collapsed="false">
      <c r="A40" s="25" t="s">
        <v>122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</row>
  </sheetData>
  <mergeCells count="1">
    <mergeCell ref="A40:Q4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3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72"/>
    <col collapsed="false" customWidth="true" hidden="false" outlineLevel="0" max="3" min="2" style="0" width="26"/>
  </cols>
  <sheetData>
    <row r="1" customFormat="false" ht="17.35" hidden="false" customHeight="false" outlineLevel="0" collapsed="false">
      <c r="A1" s="39" t="s">
        <v>123</v>
      </c>
    </row>
    <row r="2" customFormat="false" ht="15" hidden="false" customHeight="false" outlineLevel="0" collapsed="false">
      <c r="A2" s="40" t="s">
        <v>124</v>
      </c>
    </row>
    <row r="4" customFormat="false" ht="15" hidden="false" customHeight="false" outlineLevel="0" collapsed="false">
      <c r="A4" s="41" t="s">
        <v>125</v>
      </c>
      <c r="B4" s="41"/>
      <c r="C4" s="41"/>
    </row>
    <row r="6" customFormat="false" ht="15" hidden="false" customHeight="true" outlineLevel="0" collapsed="false">
      <c r="A6" s="42" t="s">
        <v>126</v>
      </c>
      <c r="B6" s="42"/>
      <c r="C6" s="42"/>
    </row>
    <row r="7" customFormat="false" ht="15" hidden="false" customHeight="false" outlineLevel="0" collapsed="false">
      <c r="A7" s="42"/>
      <c r="B7" s="42"/>
      <c r="C7" s="42"/>
    </row>
    <row r="8" customFormat="false" ht="23.85" hidden="false" customHeight="true" outlineLevel="0" collapsed="false">
      <c r="A8" s="42" t="s">
        <v>127</v>
      </c>
      <c r="B8" s="42"/>
      <c r="C8" s="42"/>
    </row>
    <row r="9" customFormat="false" ht="15" hidden="false" customHeight="false" outlineLevel="0" collapsed="false">
      <c r="A9" s="42"/>
      <c r="B9" s="42"/>
      <c r="C9" s="42"/>
    </row>
    <row r="10" customFormat="false" ht="23.85" hidden="false" customHeight="true" outlineLevel="0" collapsed="false">
      <c r="A10" s="43" t="s">
        <v>128</v>
      </c>
      <c r="B10" s="43"/>
      <c r="C10" s="43"/>
    </row>
    <row r="11" customFormat="false" ht="23.85" hidden="false" customHeight="true" outlineLevel="0" collapsed="false">
      <c r="A11" s="43" t="s">
        <v>129</v>
      </c>
      <c r="B11" s="43"/>
      <c r="C11" s="43"/>
    </row>
    <row r="12" customFormat="false" ht="15" hidden="false" customHeight="true" outlineLevel="0" collapsed="false">
      <c r="A12" s="43" t="s">
        <v>130</v>
      </c>
      <c r="B12" s="43"/>
      <c r="C12" s="43"/>
    </row>
    <row r="13" customFormat="false" ht="15" hidden="false" customHeight="true" outlineLevel="0" collapsed="false">
      <c r="A13" s="43" t="s">
        <v>131</v>
      </c>
      <c r="B13" s="43"/>
      <c r="C13" s="43"/>
    </row>
    <row r="14" customFormat="false" ht="15" hidden="false" customHeight="true" outlineLevel="0" collapsed="false">
      <c r="A14" s="43" t="s">
        <v>132</v>
      </c>
      <c r="B14" s="43"/>
      <c r="C14" s="43"/>
    </row>
    <row r="15" customFormat="false" ht="23.85" hidden="false" customHeight="true" outlineLevel="0" collapsed="false">
      <c r="A15" s="43" t="s">
        <v>133</v>
      </c>
      <c r="B15" s="43"/>
      <c r="C15" s="43"/>
    </row>
    <row r="16" customFormat="false" ht="15" hidden="false" customHeight="true" outlineLevel="0" collapsed="false">
      <c r="A16" s="43" t="s">
        <v>134</v>
      </c>
      <c r="B16" s="43"/>
      <c r="C16" s="43"/>
    </row>
    <row r="17" customFormat="false" ht="15" hidden="false" customHeight="true" outlineLevel="0" collapsed="false">
      <c r="A17" s="43" t="s">
        <v>135</v>
      </c>
      <c r="B17" s="43"/>
      <c r="C17" s="43"/>
    </row>
    <row r="18" customFormat="false" ht="15" hidden="false" customHeight="false" outlineLevel="0" collapsed="false">
      <c r="A18" s="42"/>
      <c r="B18" s="42"/>
      <c r="C18" s="42"/>
    </row>
    <row r="19" customFormat="false" ht="15" hidden="false" customHeight="true" outlineLevel="0" collapsed="false">
      <c r="A19" s="42" t="s">
        <v>136</v>
      </c>
      <c r="B19" s="42"/>
      <c r="C19" s="42"/>
    </row>
    <row r="20" customFormat="false" ht="15" hidden="false" customHeight="false" outlineLevel="0" collapsed="false">
      <c r="A20" s="42"/>
      <c r="B20" s="42"/>
      <c r="C20" s="42"/>
    </row>
    <row r="21" customFormat="false" ht="15" hidden="false" customHeight="true" outlineLevel="0" collapsed="false">
      <c r="A21" s="42" t="s">
        <v>137</v>
      </c>
      <c r="B21" s="42"/>
      <c r="C21" s="42"/>
    </row>
    <row r="23" customFormat="false" ht="15" hidden="false" customHeight="false" outlineLevel="0" collapsed="false">
      <c r="A23" s="44" t="s">
        <v>138</v>
      </c>
      <c r="B23" s="44"/>
      <c r="C23" s="44"/>
    </row>
    <row r="24" customFormat="false" ht="15" hidden="false" customHeight="false" outlineLevel="0" collapsed="false">
      <c r="A24" s="16" t="s">
        <v>139</v>
      </c>
      <c r="B24" s="16" t="s">
        <v>140</v>
      </c>
      <c r="C24" s="16" t="s">
        <v>141</v>
      </c>
    </row>
    <row r="25" customFormat="false" ht="15" hidden="false" customHeight="false" outlineLevel="0" collapsed="false">
      <c r="A25" s="45" t="s">
        <v>142</v>
      </c>
      <c r="B25" s="46"/>
      <c r="C25" s="46"/>
    </row>
    <row r="26" customFormat="false" ht="15" hidden="false" customHeight="false" outlineLevel="0" collapsed="false">
      <c r="A26" s="47" t="s">
        <v>143</v>
      </c>
      <c r="B26" s="48"/>
      <c r="C26" s="48"/>
    </row>
    <row r="27" customFormat="false" ht="15" hidden="false" customHeight="false" outlineLevel="0" collapsed="false">
      <c r="A27" s="45" t="s">
        <v>144</v>
      </c>
      <c r="B27" s="46"/>
      <c r="C27" s="46"/>
    </row>
    <row r="28" customFormat="false" ht="15" hidden="false" customHeight="false" outlineLevel="0" collapsed="false">
      <c r="A28" s="47" t="s">
        <v>145</v>
      </c>
      <c r="B28" s="48"/>
      <c r="C28" s="48"/>
    </row>
    <row r="29" customFormat="false" ht="15" hidden="false" customHeight="false" outlineLevel="0" collapsed="false">
      <c r="A29" s="45" t="s">
        <v>146</v>
      </c>
      <c r="B29" s="46"/>
      <c r="C29" s="46"/>
    </row>
    <row r="30" customFormat="false" ht="15" hidden="false" customHeight="false" outlineLevel="0" collapsed="false">
      <c r="A30" s="47" t="s">
        <v>147</v>
      </c>
      <c r="B30" s="48"/>
      <c r="C30" s="48"/>
    </row>
    <row r="31" customFormat="false" ht="15" hidden="false" customHeight="false" outlineLevel="0" collapsed="false">
      <c r="A31" s="45" t="s">
        <v>148</v>
      </c>
      <c r="B31" s="46"/>
      <c r="C31" s="46"/>
    </row>
    <row r="32" customFormat="false" ht="15" hidden="false" customHeight="false" outlineLevel="0" collapsed="false">
      <c r="A32" s="47" t="s">
        <v>149</v>
      </c>
      <c r="B32" s="48"/>
      <c r="C32" s="48"/>
    </row>
    <row r="33" customFormat="false" ht="15" hidden="false" customHeight="false" outlineLevel="0" collapsed="false">
      <c r="A33" s="45" t="s">
        <v>150</v>
      </c>
      <c r="B33" s="46"/>
      <c r="C33" s="46"/>
    </row>
    <row r="34" customFormat="false" ht="15" hidden="false" customHeight="false" outlineLevel="0" collapsed="false">
      <c r="A34" s="47" t="s">
        <v>151</v>
      </c>
      <c r="B34" s="48"/>
      <c r="C34" s="48"/>
    </row>
    <row r="35" customFormat="false" ht="15" hidden="false" customHeight="false" outlineLevel="0" collapsed="false">
      <c r="A35" s="45" t="s">
        <v>152</v>
      </c>
      <c r="B35" s="46"/>
      <c r="C35" s="46"/>
    </row>
    <row r="36" customFormat="false" ht="15" hidden="false" customHeight="false" outlineLevel="0" collapsed="false">
      <c r="A36" s="47" t="s">
        <v>153</v>
      </c>
      <c r="B36" s="48"/>
      <c r="C36" s="48"/>
    </row>
    <row r="37" customFormat="false" ht="15" hidden="false" customHeight="false" outlineLevel="0" collapsed="false">
      <c r="A37" s="45" t="s">
        <v>154</v>
      </c>
      <c r="B37" s="46"/>
      <c r="C37" s="46"/>
    </row>
    <row r="38" customFormat="false" ht="15" hidden="false" customHeight="false" outlineLevel="0" collapsed="false">
      <c r="A38" s="47" t="s">
        <v>155</v>
      </c>
      <c r="B38" s="48"/>
      <c r="C38" s="48"/>
    </row>
  </sheetData>
  <mergeCells count="18">
    <mergeCell ref="A4:C4"/>
    <mergeCell ref="A6:C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3:C2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LibreOffice/26.2.4.2$Linux_AARCH64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2026-06-24T19:22:10Z</dcterms:created>
  <dc:creator>openpyxl</dc:creator>
  <dc:description/>
  <dc:language>en-US</dc:language>
  <cp:lastModifiedBy/>
  <dcterms:modified xsi:type="dcterms:W3CDTF">2026-06-24T19:48:54Z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