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Deal Analyzer" sheetId="1" state="visible" r:id="rId1"/>
    <sheet xmlns:r="http://schemas.openxmlformats.org/officeDocument/2006/relationships" name="BRRRR - Distressed" sheetId="2" state="visible" r:id="rId2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2">
    <numFmt numFmtId="164" formatCode="0.0%"/>
    <numFmt numFmtId="165" formatCode="\$#,##0"/>
  </numFmts>
  <fonts count="16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E2A47"/>
      <sz val="14"/>
    </font>
    <font>
      <name val="Arial"/>
      <charset val="1"/>
      <family val="0"/>
      <i val="1"/>
      <color rgb="FF5A6675"/>
      <sz val="9"/>
    </font>
    <font>
      <name val="Arial"/>
      <charset val="1"/>
      <family val="0"/>
      <b val="1"/>
      <sz val="10"/>
    </font>
    <font>
      <name val="Arial"/>
      <charset val="1"/>
      <family val="0"/>
      <color rgb="FF000000"/>
      <sz val="10"/>
    </font>
    <font>
      <name val="Arial"/>
      <charset val="1"/>
      <family val="0"/>
      <color rgb="FF0000FF"/>
      <sz val="10"/>
    </font>
    <font>
      <name val="Arial"/>
      <charset val="1"/>
      <family val="0"/>
      <b val="1"/>
      <color rgb="FFFFFFFF"/>
      <sz val="10"/>
    </font>
    <font>
      <name val="Arial"/>
      <charset val="1"/>
      <family val="0"/>
      <i val="1"/>
      <color rgb="FF5A6675"/>
      <sz val="8"/>
    </font>
    <font>
      <b val="1"/>
      <color rgb="001F3864"/>
      <sz val="14"/>
    </font>
    <font>
      <i val="1"/>
      <color rgb="00555555"/>
      <sz val="9"/>
    </font>
    <font>
      <b val="1"/>
      <color rgb="001F3864"/>
      <sz val="12"/>
    </font>
    <font>
      <b val="1"/>
    </font>
    <font>
      <b val="1"/>
      <i val="1"/>
      <color rgb="001F3864"/>
    </font>
  </fonts>
  <fills count="7">
    <fill>
      <patternFill/>
    </fill>
    <fill>
      <patternFill patternType="gray125"/>
    </fill>
    <fill>
      <patternFill patternType="solid">
        <fgColor rgb="FFE8A838"/>
        <bgColor rgb="FFFFCC00"/>
      </patternFill>
    </fill>
    <fill>
      <patternFill patternType="solid">
        <fgColor rgb="FFFFF6E6"/>
        <bgColor rgb="FFF0F4F9"/>
      </patternFill>
    </fill>
    <fill>
      <patternFill patternType="solid">
        <fgColor rgb="FF0E2A47"/>
        <bgColor rgb="FF333333"/>
      </patternFill>
    </fill>
    <fill>
      <patternFill patternType="solid">
        <fgColor rgb="FFF0F4F9"/>
        <bgColor rgb="FFFFF6E6"/>
      </patternFill>
    </fill>
    <fill>
      <patternFill patternType="solid">
        <fgColor rgb="00DDEBF7"/>
      </patternFill>
    </fill>
  </fills>
  <borders count="2">
    <border>
      <left/>
      <right/>
      <top/>
      <bottom/>
      <diagonal/>
    </border>
    <border>
      <left style="thin">
        <color rgb="FFD7E0EC"/>
      </left>
      <right style="thin">
        <color rgb="FFD7E0EC"/>
      </right>
      <top style="thin">
        <color rgb="FFD7E0EC"/>
      </top>
      <bottom style="thin">
        <color rgb="FFD7E0E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62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2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10" fontId="8" fillId="3" borderId="1" applyAlignment="1" pivotButton="0" quotePrefix="0" xfId="0">
      <alignment horizontal="center" vertical="center"/>
    </xf>
    <xf numFmtId="164" fontId="8" fillId="3" borderId="1" applyAlignment="1" pivotButton="0" quotePrefix="0" xfId="0">
      <alignment horizontal="center" vertical="center"/>
    </xf>
    <xf numFmtId="165" fontId="8" fillId="3" borderId="1" applyAlignment="1" pivotButton="0" quotePrefix="0" xfId="0">
      <alignment horizontal="center" vertical="center"/>
    </xf>
    <xf numFmtId="2" fontId="8" fillId="3" borderId="1" applyAlignment="1" pivotButton="0" quotePrefix="0" xfId="0">
      <alignment horizontal="center" vertical="center"/>
    </xf>
    <xf numFmtId="0" fontId="9" fillId="4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left" vertical="center"/>
    </xf>
    <xf numFmtId="0" fontId="7" fillId="0" borderId="1" applyAlignment="1" pivotButton="0" quotePrefix="0" xfId="0">
      <alignment horizontal="center" vertical="center"/>
    </xf>
    <xf numFmtId="3" fontId="7" fillId="0" borderId="1" applyAlignment="1" pivotButton="0" quotePrefix="0" xfId="0">
      <alignment horizontal="center" vertical="center"/>
    </xf>
    <xf numFmtId="165" fontId="8" fillId="3" borderId="1" applyAlignment="1" pivotButton="0" quotePrefix="0" xfId="0">
      <alignment horizontal="general" vertical="bottom"/>
    </xf>
    <xf numFmtId="165" fontId="7" fillId="0" borderId="1" applyAlignment="1" pivotButton="0" quotePrefix="0" xfId="0">
      <alignment horizontal="general" vertical="bottom"/>
    </xf>
    <xf numFmtId="2" fontId="7" fillId="0" borderId="1" applyAlignment="1" pivotButton="0" quotePrefix="0" xfId="0">
      <alignment horizontal="center" vertical="center"/>
    </xf>
    <xf numFmtId="0" fontId="10" fillId="0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center" vertical="center"/>
    </xf>
    <xf numFmtId="3" fontId="7" fillId="5" borderId="1" applyAlignment="1" pivotButton="0" quotePrefix="0" xfId="0">
      <alignment horizontal="center" vertical="center"/>
    </xf>
    <xf numFmtId="165" fontId="7" fillId="5" borderId="1" applyAlignment="1" pivotButton="0" quotePrefix="0" xfId="0">
      <alignment horizontal="general" vertical="bottom"/>
    </xf>
    <xf numFmtId="2" fontId="7" fillId="5" borderId="1" applyAlignment="1" pivotButton="0" quotePrefix="0" xfId="0">
      <alignment horizontal="center" vertical="center"/>
    </xf>
    <xf numFmtId="0" fontId="10" fillId="5" borderId="1" applyAlignment="1" pivotButton="0" quotePrefix="0" xfId="0">
      <alignment horizontal="left" vertical="center"/>
    </xf>
    <xf numFmtId="0" fontId="5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2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10" fontId="8" fillId="3" borderId="1" applyAlignment="1" pivotButton="0" quotePrefix="0" xfId="0">
      <alignment horizontal="center" vertical="center"/>
    </xf>
    <xf numFmtId="164" fontId="8" fillId="3" borderId="1" applyAlignment="1" pivotButton="0" quotePrefix="0" xfId="0">
      <alignment horizontal="center" vertical="center"/>
    </xf>
    <xf numFmtId="165" fontId="8" fillId="3" borderId="1" applyAlignment="1" pivotButton="0" quotePrefix="0" xfId="0">
      <alignment horizontal="center" vertical="center"/>
    </xf>
    <xf numFmtId="2" fontId="8" fillId="3" borderId="1" applyAlignment="1" pivotButton="0" quotePrefix="0" xfId="0">
      <alignment horizontal="center" vertical="center"/>
    </xf>
    <xf numFmtId="0" fontId="9" fillId="4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left" vertical="center"/>
    </xf>
    <xf numFmtId="0" fontId="7" fillId="0" borderId="1" applyAlignment="1" pivotButton="0" quotePrefix="0" xfId="0">
      <alignment horizontal="center" vertical="center"/>
    </xf>
    <xf numFmtId="3" fontId="7" fillId="0" borderId="1" applyAlignment="1" pivotButton="0" quotePrefix="0" xfId="0">
      <alignment horizontal="center" vertical="center"/>
    </xf>
    <xf numFmtId="165" fontId="8" fillId="3" borderId="1" applyAlignment="1" pivotButton="0" quotePrefix="0" xfId="0">
      <alignment horizontal="general" vertical="bottom"/>
    </xf>
    <xf numFmtId="165" fontId="7" fillId="0" borderId="1" applyAlignment="1" pivotButton="0" quotePrefix="0" xfId="0">
      <alignment horizontal="general" vertical="bottom"/>
    </xf>
    <xf numFmtId="2" fontId="7" fillId="0" borderId="1" applyAlignment="1" pivotButton="0" quotePrefix="0" xfId="0">
      <alignment horizontal="center" vertical="center"/>
    </xf>
    <xf numFmtId="0" fontId="10" fillId="0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center" vertical="center"/>
    </xf>
    <xf numFmtId="3" fontId="7" fillId="5" borderId="1" applyAlignment="1" pivotButton="0" quotePrefix="0" xfId="0">
      <alignment horizontal="center" vertical="center"/>
    </xf>
    <xf numFmtId="165" fontId="7" fillId="5" borderId="1" applyAlignment="1" pivotButton="0" quotePrefix="0" xfId="0">
      <alignment horizontal="general" vertical="bottom"/>
    </xf>
    <xf numFmtId="2" fontId="7" fillId="5" borderId="1" applyAlignment="1" pivotButton="0" quotePrefix="0" xfId="0">
      <alignment horizontal="center" vertical="center"/>
    </xf>
    <xf numFmtId="0" fontId="10" fillId="5" borderId="1" applyAlignment="1" pivotButton="0" quotePrefix="0" xfId="0">
      <alignment horizontal="left" vertical="center"/>
    </xf>
    <xf numFmtId="0" fontId="11" fillId="0" borderId="0" pivotButton="0" quotePrefix="0" xfId="0"/>
    <xf numFmtId="0" fontId="12" fillId="0" borderId="0" pivotButton="0" quotePrefix="0" xfId="0"/>
    <xf numFmtId="0" fontId="13" fillId="0" borderId="0" pivotButton="0" quotePrefix="0" xfId="0"/>
    <xf numFmtId="3" fontId="0" fillId="6" borderId="0" pivotButton="0" quotePrefix="0" xfId="0"/>
    <xf numFmtId="9" fontId="0" fillId="6" borderId="0" pivotButton="0" quotePrefix="0" xfId="0"/>
    <xf numFmtId="10" fontId="0" fillId="6" borderId="0" pivotButton="0" quotePrefix="0" xfId="0"/>
    <xf numFmtId="2" fontId="0" fillId="6" borderId="0" pivotButton="0" quotePrefix="0" xfId="0"/>
    <xf numFmtId="0" fontId="14" fillId="0" borderId="0" pivotButton="0" quotePrefix="0" xfId="0"/>
    <xf numFmtId="3" fontId="0" fillId="0" borderId="0" pivotButton="0" quotePrefix="0" xfId="0"/>
    <xf numFmtId="9" fontId="0" fillId="0" borderId="0" pivotButton="0" quotePrefix="0" xfId="0"/>
    <xf numFmtId="2" fontId="14" fillId="0" borderId="0" pivotButton="0" quotePrefix="0" xfId="0"/>
    <xf numFmtId="0" fontId="15" fillId="0" borderId="0" pivotButton="0" quotePrefix="0" xfId="0"/>
    <xf numFmtId="0" fontId="0" fillId="6" borderId="0" pivotButton="0" quotePrefix="0" xfId="0"/>
    <xf numFmtId="2" fontId="0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6E6"/>
      <rgbColor rgb="FFF0F4F9"/>
      <rgbColor rgb="FF660066"/>
      <rgbColor rgb="FFFF8080"/>
      <rgbColor rgb="FF0066CC"/>
      <rgbColor rgb="FFD7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A838"/>
      <rgbColor rgb="FFFF6600"/>
      <rgbColor rgb="FF5A6675"/>
      <rgbColor rgb="FF969696"/>
      <rgbColor rgb="FF0E2A47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Q44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pane xSplit="0" ySplit="14" topLeftCell="A15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22" customWidth="1" style="24" min="1" max="1"/>
    <col width="7" customWidth="1" style="24" min="2" max="2"/>
    <col width="4" customWidth="1" style="24" min="3" max="4"/>
    <col width="7" customWidth="1" style="24" min="5" max="5"/>
    <col width="11" customWidth="1" style="24" min="6" max="8"/>
    <col width="10" customWidth="1" style="24" min="9" max="10"/>
    <col width="8" customWidth="1" style="24" min="11" max="11"/>
    <col width="10" customWidth="1" style="24" min="12" max="12"/>
    <col width="7" customWidth="1" style="24" min="13" max="13"/>
    <col width="13" customWidth="1" style="24" min="14" max="14"/>
    <col width="11" customWidth="1" style="24" min="15" max="15"/>
    <col width="30" customWidth="1" style="24" min="16" max="17"/>
  </cols>
  <sheetData>
    <row r="1" ht="17.35" customHeight="1" s="25">
      <c r="A1" s="26" t="inlineStr">
        <is>
          <t>St. Louis DSCR Deal Analyzer — First-Time Investor</t>
        </is>
      </c>
    </row>
    <row r="2" ht="15" customHeight="1" s="25">
      <c r="A2" s="27" t="inlineStr">
        <is>
          <t>Listings pulled from Redfin/MLS GRID, Jun 24 2026 ($100K–$150K, houses + multifamily). Blue cells = editable inputs. DSCR &amp; loan math auto-calc.</t>
        </is>
      </c>
    </row>
    <row r="4" ht="15" customHeight="1" s="25">
      <c r="A4" s="28" t="inlineStr">
        <is>
          <t>ASSUMPTIONS — edit the blue cells</t>
        </is>
      </c>
    </row>
    <row r="5" ht="15" customHeight="1" s="25">
      <c r="A5" s="29" t="inlineStr">
        <is>
          <t>Interest Rate (DSCR ~8%)</t>
        </is>
      </c>
      <c r="B5" s="30" t="n">
        <v>0.08</v>
      </c>
    </row>
    <row r="6" ht="15" customHeight="1" s="25">
      <c r="A6" s="29" t="inlineStr">
        <is>
          <t>Down Payment %</t>
        </is>
      </c>
      <c r="B6" s="31" t="n">
        <v>0.25</v>
      </c>
    </row>
    <row r="7" ht="15" customHeight="1" s="25">
      <c r="A7" s="29" t="inlineStr">
        <is>
          <t>Property Tax (annual % of price)</t>
        </is>
      </c>
      <c r="B7" s="30" t="n">
        <v>0.013</v>
      </c>
    </row>
    <row r="8" ht="15" customHeight="1" s="25">
      <c r="A8" s="29" t="inlineStr">
        <is>
          <t>Insurance ($/mo)</t>
        </is>
      </c>
      <c r="B8" s="32" t="n">
        <v>95</v>
      </c>
    </row>
    <row r="9" ht="15" customHeight="1" s="25">
      <c r="A9" s="29" t="inlineStr">
        <is>
          <t>HOA ($/mo)</t>
        </is>
      </c>
      <c r="B9" s="32" t="n">
        <v>0</v>
      </c>
    </row>
    <row r="10" ht="15" customHeight="1" s="25">
      <c r="A10" s="29" t="inlineStr">
        <is>
          <t>Min Loan Floor ($)</t>
        </is>
      </c>
      <c r="B10" s="32" t="n">
        <v>100000</v>
      </c>
    </row>
    <row r="11" ht="15" customHeight="1" s="25">
      <c r="A11" s="29" t="inlineStr">
        <is>
          <t>Min DSCR to "pass"</t>
        </is>
      </c>
      <c r="B11" s="33" t="n">
        <v>1</v>
      </c>
    </row>
    <row r="14" ht="15" customHeight="1" s="25">
      <c r="A14" s="34" t="inlineStr">
        <is>
          <t>Address</t>
        </is>
      </c>
      <c r="B14" s="34" t="inlineStr">
        <is>
          <t>ZIP</t>
        </is>
      </c>
      <c r="C14" s="34" t="inlineStr">
        <is>
          <t>Bd</t>
        </is>
      </c>
      <c r="D14" s="34" t="inlineStr">
        <is>
          <t>Ba</t>
        </is>
      </c>
      <c r="E14" s="34" t="inlineStr">
        <is>
          <t>SqFt</t>
        </is>
      </c>
      <c r="F14" s="34" t="inlineStr">
        <is>
          <t>Price</t>
        </is>
      </c>
      <c r="G14" s="34" t="inlineStr">
        <is>
          <t>Est Rent/mo</t>
        </is>
      </c>
      <c r="H14" s="34" t="inlineStr">
        <is>
          <t>Loan Amt</t>
        </is>
      </c>
      <c r="I14" s="34" t="inlineStr">
        <is>
          <t>P&amp;I/mo</t>
        </is>
      </c>
      <c r="J14" s="34" t="inlineStr">
        <is>
          <t>Taxes/mo</t>
        </is>
      </c>
      <c r="K14" s="34" t="inlineStr">
        <is>
          <t>Ins/mo</t>
        </is>
      </c>
      <c r="L14" s="34" t="inlineStr">
        <is>
          <t>PITIA</t>
        </is>
      </c>
      <c r="M14" s="34" t="inlineStr">
        <is>
          <t>DSCR</t>
        </is>
      </c>
      <c r="N14" s="34" t="inlineStr">
        <is>
          <t>Clears $100K?</t>
        </is>
      </c>
      <c r="O14" s="34" t="inlineStr">
        <is>
          <t>DSCR Pass?</t>
        </is>
      </c>
      <c r="P14" s="34" t="inlineStr">
        <is>
          <t>Suggested path</t>
        </is>
      </c>
      <c r="Q14" s="34" t="inlineStr">
        <is>
          <t>Rent basis</t>
        </is>
      </c>
    </row>
    <row r="15" ht="15" customHeight="1" s="25">
      <c r="A15" s="35" t="inlineStr">
        <is>
          <t>3901 Cranberry Ln</t>
        </is>
      </c>
      <c r="B15" s="36" t="inlineStr">
        <is>
          <t>63121</t>
        </is>
      </c>
      <c r="C15" s="36" t="n">
        <v>3</v>
      </c>
      <c r="D15" s="36" t="n">
        <v>1</v>
      </c>
      <c r="E15" s="37" t="n">
        <v>825</v>
      </c>
      <c r="F15" s="38" t="n">
        <v>100000</v>
      </c>
      <c r="G15" s="38" t="n">
        <v>1200</v>
      </c>
      <c r="H15" s="39">
        <f>F15*(1-$B$6)</f>
        <v/>
      </c>
      <c r="I15" s="39">
        <f>-PMT($B$5/12,360,H15)</f>
        <v/>
      </c>
      <c r="J15" s="39">
        <f>F15*$B$7/12</f>
        <v/>
      </c>
      <c r="K15" s="39">
        <f>$B$8</f>
        <v/>
      </c>
      <c r="L15" s="39">
        <f>I15+J15+K15+$B$9</f>
        <v/>
      </c>
      <c r="M15" s="40">
        <f>G15/L15</f>
        <v/>
      </c>
      <c r="N15" s="36">
        <f>IF(H15&gt;=$B$10,"Yes","Below floor")</f>
        <v/>
      </c>
      <c r="O15" s="36">
        <f>IF(M15&gt;=$B$11,"Yes","No")</f>
        <v/>
      </c>
      <c r="P15" s="35">
        <f>IF(H15&lt;$B$10,"Bundle/blanket or cash-then-refi",IF(M15&gt;=$B$11,"Kiavi/CV3/local (UWM if 700+)","Re-price or more down"))</f>
        <v/>
      </c>
      <c r="Q15" s="41" t="inlineStr">
        <is>
          <t>Actual — tenant $1,200 thru 7/31/26</t>
        </is>
      </c>
    </row>
    <row r="16" ht="15" customHeight="1" s="25">
      <c r="A16" s="42" t="inlineStr">
        <is>
          <t>6309 Page Ave</t>
        </is>
      </c>
      <c r="B16" s="43" t="inlineStr">
        <is>
          <t>63133</t>
        </is>
      </c>
      <c r="C16" s="43" t="n">
        <v>4</v>
      </c>
      <c r="D16" s="43" t="n">
        <v>2</v>
      </c>
      <c r="E16" s="44" t="n">
        <v>2496</v>
      </c>
      <c r="F16" s="38" t="n">
        <v>100000</v>
      </c>
      <c r="G16" s="38" t="n">
        <v>1500</v>
      </c>
      <c r="H16" s="45">
        <f>F16*(1-$B$6)</f>
        <v/>
      </c>
      <c r="I16" s="45">
        <f>-PMT($B$5/12,360,H16)</f>
        <v/>
      </c>
      <c r="J16" s="45">
        <f>F16*$B$7/12</f>
        <v/>
      </c>
      <c r="K16" s="45">
        <f>$B$8</f>
        <v/>
      </c>
      <c r="L16" s="45">
        <f>I16+J16+K16+$B$9</f>
        <v/>
      </c>
      <c r="M16" s="46">
        <f>G16/L16</f>
        <v/>
      </c>
      <c r="N16" s="43">
        <f>IF(H16&gt;=$B$10,"Yes","Below floor")</f>
        <v/>
      </c>
      <c r="O16" s="43">
        <f>IF(M16&gt;=$B$11,"Yes","No")</f>
        <v/>
      </c>
      <c r="P16" s="42">
        <f>IF(H16&lt;$B$10,"Bundle/blanket or cash-then-refi",IF(M16&gt;=$B$11,"Kiavi/CV3/local (UWM if 700+)","Re-price or more down"))</f>
        <v/>
      </c>
      <c r="Q16" s="47" t="inlineStr">
        <is>
          <t>Actual — duplex 2×$750</t>
        </is>
      </c>
    </row>
    <row r="17" ht="15" customHeight="1" s="25">
      <c r="A17" s="35" t="inlineStr">
        <is>
          <t>1534 Comet Dr</t>
        </is>
      </c>
      <c r="B17" s="36" t="inlineStr">
        <is>
          <t>63137</t>
        </is>
      </c>
      <c r="C17" s="36" t="n">
        <v>2</v>
      </c>
      <c r="D17" s="36" t="n">
        <v>1</v>
      </c>
      <c r="E17" s="37" t="n">
        <v>912</v>
      </c>
      <c r="F17" s="38" t="n">
        <v>100000</v>
      </c>
      <c r="G17" s="38" t="n">
        <v>950</v>
      </c>
      <c r="H17" s="39">
        <f>F17*(1-$B$6)</f>
        <v/>
      </c>
      <c r="I17" s="39">
        <f>-PMT($B$5/12,360,H17)</f>
        <v/>
      </c>
      <c r="J17" s="39">
        <f>F17*$B$7/12</f>
        <v/>
      </c>
      <c r="K17" s="39">
        <f>$B$8</f>
        <v/>
      </c>
      <c r="L17" s="39">
        <f>I17+J17+K17+$B$9</f>
        <v/>
      </c>
      <c r="M17" s="40">
        <f>G17/L17</f>
        <v/>
      </c>
      <c r="N17" s="36">
        <f>IF(H17&gt;=$B$10,"Yes","Below floor")</f>
        <v/>
      </c>
      <c r="O17" s="36">
        <f>IF(M17&gt;=$B$11,"Yes","No")</f>
        <v/>
      </c>
      <c r="P17" s="35">
        <f>IF(H17&lt;$B$10,"Bundle/blanket or cash-then-refi",IF(M17&gt;=$B$11,"Kiavi/CV3/local (UWM if 700+)","Re-price or more down"))</f>
        <v/>
      </c>
      <c r="Q17" s="41" t="inlineStr">
        <is>
          <t>Est</t>
        </is>
      </c>
    </row>
    <row r="18" ht="15" customHeight="1" s="25">
      <c r="A18" s="42" t="inlineStr">
        <is>
          <t>10147 Clairmont Dr</t>
        </is>
      </c>
      <c r="B18" s="43" t="inlineStr">
        <is>
          <t>63136</t>
        </is>
      </c>
      <c r="C18" s="43" t="n">
        <v>2</v>
      </c>
      <c r="D18" s="43" t="n">
        <v>2</v>
      </c>
      <c r="E18" s="44" t="n">
        <v>864</v>
      </c>
      <c r="F18" s="38" t="n">
        <v>100000</v>
      </c>
      <c r="G18" s="38" t="n">
        <v>975</v>
      </c>
      <c r="H18" s="45">
        <f>F18*(1-$B$6)</f>
        <v/>
      </c>
      <c r="I18" s="45">
        <f>-PMT($B$5/12,360,H18)</f>
        <v/>
      </c>
      <c r="J18" s="45">
        <f>F18*$B$7/12</f>
        <v/>
      </c>
      <c r="K18" s="45">
        <f>$B$8</f>
        <v/>
      </c>
      <c r="L18" s="45">
        <f>I18+J18+K18+$B$9</f>
        <v/>
      </c>
      <c r="M18" s="46">
        <f>G18/L18</f>
        <v/>
      </c>
      <c r="N18" s="43">
        <f>IF(H18&gt;=$B$10,"Yes","Below floor")</f>
        <v/>
      </c>
      <c r="O18" s="43">
        <f>IF(M18&gt;=$B$11,"Yes","No")</f>
        <v/>
      </c>
      <c r="P18" s="42">
        <f>IF(H18&lt;$B$10,"Bundle/blanket or cash-then-refi",IF(M18&gt;=$B$11,"Kiavi/CV3/local (UWM if 700+)","Re-price or more down"))</f>
        <v/>
      </c>
      <c r="Q18" s="47" t="inlineStr">
        <is>
          <t>Est</t>
        </is>
      </c>
    </row>
    <row r="19" ht="15" customHeight="1" s="25">
      <c r="A19" s="35" t="inlineStr">
        <is>
          <t>200 E Ripa Ave</t>
        </is>
      </c>
      <c r="B19" s="36" t="inlineStr">
        <is>
          <t>63125</t>
        </is>
      </c>
      <c r="C19" s="36" t="n">
        <v>3</v>
      </c>
      <c r="D19" s="36" t="n">
        <v>1</v>
      </c>
      <c r="E19" s="37" t="n">
        <v>1428</v>
      </c>
      <c r="F19" s="38" t="n">
        <v>100000</v>
      </c>
      <c r="G19" s="38" t="n">
        <v>1150</v>
      </c>
      <c r="H19" s="39">
        <f>F19*(1-$B$6)</f>
        <v/>
      </c>
      <c r="I19" s="39">
        <f>-PMT($B$5/12,360,H19)</f>
        <v/>
      </c>
      <c r="J19" s="39">
        <f>F19*$B$7/12</f>
        <v/>
      </c>
      <c r="K19" s="39">
        <f>$B$8</f>
        <v/>
      </c>
      <c r="L19" s="39">
        <f>I19+J19+K19+$B$9</f>
        <v/>
      </c>
      <c r="M19" s="40">
        <f>G19/L19</f>
        <v/>
      </c>
      <c r="N19" s="36">
        <f>IF(H19&gt;=$B$10,"Yes","Below floor")</f>
        <v/>
      </c>
      <c r="O19" s="36">
        <f>IF(M19&gt;=$B$11,"Yes","No")</f>
        <v/>
      </c>
      <c r="P19" s="35">
        <f>IF(H19&lt;$B$10,"Bundle/blanket or cash-then-refi",IF(M19&gt;=$B$11,"Kiavi/CV3/local (UWM if 700+)","Re-price or more down"))</f>
        <v/>
      </c>
      <c r="Q19" s="41" t="inlineStr">
        <is>
          <t>Est</t>
        </is>
      </c>
    </row>
    <row r="20" ht="15" customHeight="1" s="25">
      <c r="A20" s="42" t="inlineStr">
        <is>
          <t>536 Eiler</t>
        </is>
      </c>
      <c r="B20" s="43" t="inlineStr">
        <is>
          <t>63111</t>
        </is>
      </c>
      <c r="C20" s="43" t="n">
        <v>4</v>
      </c>
      <c r="D20" s="43" t="n">
        <v>2</v>
      </c>
      <c r="E20" s="44" t="n">
        <v>2014</v>
      </c>
      <c r="F20" s="38" t="n">
        <v>102000</v>
      </c>
      <c r="G20" s="38" t="n">
        <v>1300</v>
      </c>
      <c r="H20" s="45">
        <f>F20*(1-$B$6)</f>
        <v/>
      </c>
      <c r="I20" s="45">
        <f>-PMT($B$5/12,360,H20)</f>
        <v/>
      </c>
      <c r="J20" s="45">
        <f>F20*$B$7/12</f>
        <v/>
      </c>
      <c r="K20" s="45">
        <f>$B$8</f>
        <v/>
      </c>
      <c r="L20" s="45">
        <f>I20+J20+K20+$B$9</f>
        <v/>
      </c>
      <c r="M20" s="46">
        <f>G20/L20</f>
        <v/>
      </c>
      <c r="N20" s="43">
        <f>IF(H20&gt;=$B$10,"Yes","Below floor")</f>
        <v/>
      </c>
      <c r="O20" s="43">
        <f>IF(M20&gt;=$B$11,"Yes","No")</f>
        <v/>
      </c>
      <c r="P20" s="42">
        <f>IF(H20&lt;$B$10,"Bundle/blanket or cash-then-refi",IF(M20&gt;=$B$11,"Kiavi/CV3/local (UWM if 700+)","Re-price or more down"))</f>
        <v/>
      </c>
      <c r="Q20" s="47" t="inlineStr">
        <is>
          <t>Est</t>
        </is>
      </c>
    </row>
    <row r="21" ht="15" customHeight="1" s="25">
      <c r="A21" s="35" t="inlineStr">
        <is>
          <t>245 Grampian Rd</t>
        </is>
      </c>
      <c r="B21" s="36" t="inlineStr">
        <is>
          <t>63137</t>
        </is>
      </c>
      <c r="C21" s="36" t="n">
        <v>3</v>
      </c>
      <c r="D21" s="36" t="n">
        <v>1</v>
      </c>
      <c r="E21" s="37" t="n">
        <v>873</v>
      </c>
      <c r="F21" s="38" t="n">
        <v>104900</v>
      </c>
      <c r="G21" s="38" t="n">
        <v>1100</v>
      </c>
      <c r="H21" s="39">
        <f>F21*(1-$B$6)</f>
        <v/>
      </c>
      <c r="I21" s="39">
        <f>-PMT($B$5/12,360,H21)</f>
        <v/>
      </c>
      <c r="J21" s="39">
        <f>F21*$B$7/12</f>
        <v/>
      </c>
      <c r="K21" s="39">
        <f>$B$8</f>
        <v/>
      </c>
      <c r="L21" s="39">
        <f>I21+J21+K21+$B$9</f>
        <v/>
      </c>
      <c r="M21" s="40">
        <f>G21/L21</f>
        <v/>
      </c>
      <c r="N21" s="36">
        <f>IF(H21&gt;=$B$10,"Yes","Below floor")</f>
        <v/>
      </c>
      <c r="O21" s="36">
        <f>IF(M21&gt;=$B$11,"Yes","No")</f>
        <v/>
      </c>
      <c r="P21" s="35">
        <f>IF(H21&lt;$B$10,"Bundle/blanket or cash-then-refi",IF(M21&gt;=$B$11,"Kiavi/CV3/local (UWM if 700+)","Re-price or more down"))</f>
        <v/>
      </c>
      <c r="Q21" s="41" t="inlineStr">
        <is>
          <t>Est</t>
        </is>
      </c>
    </row>
    <row r="22" ht="15" customHeight="1" s="25">
      <c r="A22" s="42" t="inlineStr">
        <is>
          <t>9503 Yorktown Dr</t>
        </is>
      </c>
      <c r="B22" s="43" t="inlineStr">
        <is>
          <t>63137</t>
        </is>
      </c>
      <c r="C22" s="43" t="n">
        <v>3</v>
      </c>
      <c r="D22" s="43" t="n">
        <v>2</v>
      </c>
      <c r="E22" s="44" t="n">
        <v>1404</v>
      </c>
      <c r="F22" s="38" t="n">
        <v>104900</v>
      </c>
      <c r="G22" s="38" t="n">
        <v>1200</v>
      </c>
      <c r="H22" s="45">
        <f>F22*(1-$B$6)</f>
        <v/>
      </c>
      <c r="I22" s="45">
        <f>-PMT($B$5/12,360,H22)</f>
        <v/>
      </c>
      <c r="J22" s="45">
        <f>F22*$B$7/12</f>
        <v/>
      </c>
      <c r="K22" s="45">
        <f>$B$8</f>
        <v/>
      </c>
      <c r="L22" s="45">
        <f>I22+J22+K22+$B$9</f>
        <v/>
      </c>
      <c r="M22" s="46">
        <f>G22/L22</f>
        <v/>
      </c>
      <c r="N22" s="43">
        <f>IF(H22&gt;=$B$10,"Yes","Below floor")</f>
        <v/>
      </c>
      <c r="O22" s="43">
        <f>IF(M22&gt;=$B$11,"Yes","No")</f>
        <v/>
      </c>
      <c r="P22" s="42">
        <f>IF(H22&lt;$B$10,"Bundle/blanket or cash-then-refi",IF(M22&gt;=$B$11,"Kiavi/CV3/local (UWM if 700+)","Re-price or more down"))</f>
        <v/>
      </c>
      <c r="Q22" s="47" t="inlineStr">
        <is>
          <t>Est</t>
        </is>
      </c>
    </row>
    <row r="23" ht="15" customHeight="1" s="25">
      <c r="A23" s="35" t="inlineStr">
        <is>
          <t>4429 Greer Ave</t>
        </is>
      </c>
      <c r="B23" s="36" t="inlineStr">
        <is>
          <t>63115</t>
        </is>
      </c>
      <c r="C23" s="36" t="n">
        <v>4</v>
      </c>
      <c r="D23" s="36" t="n">
        <v>2.5</v>
      </c>
      <c r="E23" s="37" t="n">
        <v>1650</v>
      </c>
      <c r="F23" s="38" t="n">
        <v>105000</v>
      </c>
      <c r="G23" s="38" t="n">
        <v>1300</v>
      </c>
      <c r="H23" s="39">
        <f>F23*(1-$B$6)</f>
        <v/>
      </c>
      <c r="I23" s="39">
        <f>-PMT($B$5/12,360,H23)</f>
        <v/>
      </c>
      <c r="J23" s="39">
        <f>F23*$B$7/12</f>
        <v/>
      </c>
      <c r="K23" s="39">
        <f>$B$8</f>
        <v/>
      </c>
      <c r="L23" s="39">
        <f>I23+J23+K23+$B$9</f>
        <v/>
      </c>
      <c r="M23" s="40">
        <f>G23/L23</f>
        <v/>
      </c>
      <c r="N23" s="36">
        <f>IF(H23&gt;=$B$10,"Yes","Below floor")</f>
        <v/>
      </c>
      <c r="O23" s="36">
        <f>IF(M23&gt;=$B$11,"Yes","No")</f>
        <v/>
      </c>
      <c r="P23" s="35">
        <f>IF(H23&lt;$B$10,"Bundle/blanket or cash-then-refi",IF(M23&gt;=$B$11,"Kiavi/CV3/local (UWM if 700+)","Re-price or more down"))</f>
        <v/>
      </c>
      <c r="Q23" s="41" t="inlineStr">
        <is>
          <t>Est</t>
        </is>
      </c>
    </row>
    <row r="24" ht="15" customHeight="1" s="25">
      <c r="A24" s="42" t="inlineStr">
        <is>
          <t>2813 Meramec St</t>
        </is>
      </c>
      <c r="B24" s="43" t="inlineStr">
        <is>
          <t>63118</t>
        </is>
      </c>
      <c r="C24" s="43" t="n">
        <v>4</v>
      </c>
      <c r="D24" s="43" t="n">
        <v>2</v>
      </c>
      <c r="E24" s="44" t="n">
        <v>2146</v>
      </c>
      <c r="F24" s="38" t="n">
        <v>109900</v>
      </c>
      <c r="G24" s="38" t="n">
        <v>1350</v>
      </c>
      <c r="H24" s="45">
        <f>F24*(1-$B$6)</f>
        <v/>
      </c>
      <c r="I24" s="45">
        <f>-PMT($B$5/12,360,H24)</f>
        <v/>
      </c>
      <c r="J24" s="45">
        <f>F24*$B$7/12</f>
        <v/>
      </c>
      <c r="K24" s="45">
        <f>$B$8</f>
        <v/>
      </c>
      <c r="L24" s="45">
        <f>I24+J24+K24+$B$9</f>
        <v/>
      </c>
      <c r="M24" s="46">
        <f>G24/L24</f>
        <v/>
      </c>
      <c r="N24" s="43">
        <f>IF(H24&gt;=$B$10,"Yes","Below floor")</f>
        <v/>
      </c>
      <c r="O24" s="43">
        <f>IF(M24&gt;=$B$11,"Yes","No")</f>
        <v/>
      </c>
      <c r="P24" s="42">
        <f>IF(H24&lt;$B$10,"Bundle/blanket or cash-then-refi",IF(M24&gt;=$B$11,"Kiavi/CV3/local (UWM if 700+)","Re-price or more down"))</f>
        <v/>
      </c>
      <c r="Q24" s="47" t="inlineStr">
        <is>
          <t>Est</t>
        </is>
      </c>
    </row>
    <row r="25" ht="15" customHeight="1" s="25">
      <c r="A25" s="35" t="inlineStr">
        <is>
          <t>886 Prigge Rd</t>
        </is>
      </c>
      <c r="B25" s="36" t="inlineStr">
        <is>
          <t>63138</t>
        </is>
      </c>
      <c r="C25" s="36" t="n">
        <v>3</v>
      </c>
      <c r="D25" s="36" t="n">
        <v>1</v>
      </c>
      <c r="E25" s="37" t="n">
        <v>1544</v>
      </c>
      <c r="F25" s="38" t="n">
        <v>130000</v>
      </c>
      <c r="G25" s="38" t="n">
        <v>1150</v>
      </c>
      <c r="H25" s="39">
        <f>F25*(1-$B$6)</f>
        <v/>
      </c>
      <c r="I25" s="39">
        <f>-PMT($B$5/12,360,H25)</f>
        <v/>
      </c>
      <c r="J25" s="39">
        <f>F25*$B$7/12</f>
        <v/>
      </c>
      <c r="K25" s="39">
        <f>$B$8</f>
        <v/>
      </c>
      <c r="L25" s="39">
        <f>I25+J25+K25+$B$9</f>
        <v/>
      </c>
      <c r="M25" s="40">
        <f>G25/L25</f>
        <v/>
      </c>
      <c r="N25" s="36">
        <f>IF(H25&gt;=$B$10,"Yes","Below floor")</f>
        <v/>
      </c>
      <c r="O25" s="36">
        <f>IF(M25&gt;=$B$11,"Yes","No")</f>
        <v/>
      </c>
      <c r="P25" s="35">
        <f>IF(H25&lt;$B$10,"Bundle/blanket or cash-then-refi",IF(M25&gt;=$B$11,"Kiavi/CV3/local (UWM if 700+)","Re-price or more down"))</f>
        <v/>
      </c>
      <c r="Q25" s="41" t="inlineStr">
        <is>
          <t>Actual — tenanted, renews May</t>
        </is>
      </c>
    </row>
    <row r="26" ht="15" customHeight="1" s="25">
      <c r="A26" s="42" t="inlineStr">
        <is>
          <t>11940 San Andres Dr</t>
        </is>
      </c>
      <c r="B26" s="43" t="inlineStr">
        <is>
          <t>63138</t>
        </is>
      </c>
      <c r="C26" s="43" t="n">
        <v>3</v>
      </c>
      <c r="D26" s="43" t="n">
        <v>1.5</v>
      </c>
      <c r="E26" s="44" t="n">
        <v>1040</v>
      </c>
      <c r="F26" s="38" t="n">
        <v>130000</v>
      </c>
      <c r="G26" s="38" t="n">
        <v>1150</v>
      </c>
      <c r="H26" s="45">
        <f>F26*(1-$B$6)</f>
        <v/>
      </c>
      <c r="I26" s="45">
        <f>-PMT($B$5/12,360,H26)</f>
        <v/>
      </c>
      <c r="J26" s="45">
        <f>F26*$B$7/12</f>
        <v/>
      </c>
      <c r="K26" s="45">
        <f>$B$8</f>
        <v/>
      </c>
      <c r="L26" s="45">
        <f>I26+J26+K26+$B$9</f>
        <v/>
      </c>
      <c r="M26" s="46">
        <f>G26/L26</f>
        <v/>
      </c>
      <c r="N26" s="43">
        <f>IF(H26&gt;=$B$10,"Yes","Below floor")</f>
        <v/>
      </c>
      <c r="O26" s="43">
        <f>IF(M26&gt;=$B$11,"Yes","No")</f>
        <v/>
      </c>
      <c r="P26" s="42">
        <f>IF(H26&lt;$B$10,"Bundle/blanket or cash-then-refi",IF(M26&gt;=$B$11,"Kiavi/CV3/local (UWM if 700+)","Re-price or more down"))</f>
        <v/>
      </c>
      <c r="Q26" s="47" t="inlineStr">
        <is>
          <t>Est</t>
        </is>
      </c>
    </row>
    <row r="27" ht="15" customHeight="1" s="25">
      <c r="A27" s="35" t="inlineStr">
        <is>
          <t>9343 Duenke Dr</t>
        </is>
      </c>
      <c r="B27" s="36" t="inlineStr">
        <is>
          <t>63137</t>
        </is>
      </c>
      <c r="C27" s="36" t="n">
        <v>2</v>
      </c>
      <c r="D27" s="36" t="n">
        <v>1</v>
      </c>
      <c r="E27" s="37" t="n">
        <v>982</v>
      </c>
      <c r="F27" s="38" t="n">
        <v>130000</v>
      </c>
      <c r="G27" s="38" t="n">
        <v>1050</v>
      </c>
      <c r="H27" s="39">
        <f>F27*(1-$B$6)</f>
        <v/>
      </c>
      <c r="I27" s="39">
        <f>-PMT($B$5/12,360,H27)</f>
        <v/>
      </c>
      <c r="J27" s="39">
        <f>F27*$B$7/12</f>
        <v/>
      </c>
      <c r="K27" s="39">
        <f>$B$8</f>
        <v/>
      </c>
      <c r="L27" s="39">
        <f>I27+J27+K27+$B$9</f>
        <v/>
      </c>
      <c r="M27" s="40">
        <f>G27/L27</f>
        <v/>
      </c>
      <c r="N27" s="36">
        <f>IF(H27&gt;=$B$10,"Yes","Below floor")</f>
        <v/>
      </c>
      <c r="O27" s="36">
        <f>IF(M27&gt;=$B$11,"Yes","No")</f>
        <v/>
      </c>
      <c r="P27" s="35">
        <f>IF(H27&lt;$B$10,"Bundle/blanket or cash-then-refi",IF(M27&gt;=$B$11,"Kiavi/CV3/local (UWM if 700+)","Re-price or more down"))</f>
        <v/>
      </c>
      <c r="Q27" s="41" t="inlineStr">
        <is>
          <t>Est (renovated)</t>
        </is>
      </c>
    </row>
    <row r="28" ht="15" customHeight="1" s="25">
      <c r="A28" s="42" t="inlineStr">
        <is>
          <t>3645 Dunnica Ave</t>
        </is>
      </c>
      <c r="B28" s="43" t="inlineStr">
        <is>
          <t>63116</t>
        </is>
      </c>
      <c r="C28" s="43" t="n">
        <v>3</v>
      </c>
      <c r="D28" s="43" t="n">
        <v>2</v>
      </c>
      <c r="E28" s="44" t="n">
        <v>1760</v>
      </c>
      <c r="F28" s="38" t="n">
        <v>130000</v>
      </c>
      <c r="G28" s="38" t="n">
        <v>1300</v>
      </c>
      <c r="H28" s="45">
        <f>F28*(1-$B$6)</f>
        <v/>
      </c>
      <c r="I28" s="45">
        <f>-PMT($B$5/12,360,H28)</f>
        <v/>
      </c>
      <c r="J28" s="45">
        <f>F28*$B$7/12</f>
        <v/>
      </c>
      <c r="K28" s="45">
        <f>$B$8</f>
        <v/>
      </c>
      <c r="L28" s="45">
        <f>I28+J28+K28+$B$9</f>
        <v/>
      </c>
      <c r="M28" s="46">
        <f>G28/L28</f>
        <v/>
      </c>
      <c r="N28" s="43">
        <f>IF(H28&gt;=$B$10,"Yes","Below floor")</f>
        <v/>
      </c>
      <c r="O28" s="43">
        <f>IF(M28&gt;=$B$11,"Yes","No")</f>
        <v/>
      </c>
      <c r="P28" s="42">
        <f>IF(H28&lt;$B$10,"Bundle/blanket or cash-then-refi",IF(M28&gt;=$B$11,"Kiavi/CV3/local (UWM if 700+)","Re-price or more down"))</f>
        <v/>
      </c>
      <c r="Q28" s="47" t="inlineStr">
        <is>
          <t>Est</t>
        </is>
      </c>
    </row>
    <row r="29" ht="15" customHeight="1" s="25">
      <c r="A29" s="35" t="inlineStr">
        <is>
          <t>3271 Marshall Ave</t>
        </is>
      </c>
      <c r="B29" s="36" t="inlineStr">
        <is>
          <t>63114</t>
        </is>
      </c>
      <c r="C29" s="36" t="n">
        <v>4</v>
      </c>
      <c r="D29" s="36" t="n">
        <v>1</v>
      </c>
      <c r="E29" s="37" t="n">
        <v>1451</v>
      </c>
      <c r="F29" s="38" t="n">
        <v>130000</v>
      </c>
      <c r="G29" s="38" t="n">
        <v>1300</v>
      </c>
      <c r="H29" s="39">
        <f>F29*(1-$B$6)</f>
        <v/>
      </c>
      <c r="I29" s="39">
        <f>-PMT($B$5/12,360,H29)</f>
        <v/>
      </c>
      <c r="J29" s="39">
        <f>F29*$B$7/12</f>
        <v/>
      </c>
      <c r="K29" s="39">
        <f>$B$8</f>
        <v/>
      </c>
      <c r="L29" s="39">
        <f>I29+J29+K29+$B$9</f>
        <v/>
      </c>
      <c r="M29" s="40">
        <f>G29/L29</f>
        <v/>
      </c>
      <c r="N29" s="36">
        <f>IF(H29&gt;=$B$10,"Yes","Below floor")</f>
        <v/>
      </c>
      <c r="O29" s="36">
        <f>IF(M29&gt;=$B$11,"Yes","No")</f>
        <v/>
      </c>
      <c r="P29" s="35">
        <f>IF(H29&lt;$B$10,"Bundle/blanket or cash-then-refi",IF(M29&gt;=$B$11,"Kiavi/CV3/local (UWM if 700+)","Re-price or more down"))</f>
        <v/>
      </c>
      <c r="Q29" s="41" t="inlineStr">
        <is>
          <t>Est</t>
        </is>
      </c>
    </row>
    <row r="30" ht="15" customHeight="1" s="25">
      <c r="A30" s="42" t="inlineStr">
        <is>
          <t>2202 Osage St</t>
        </is>
      </c>
      <c r="B30" s="43" t="inlineStr">
        <is>
          <t>63118</t>
        </is>
      </c>
      <c r="C30" s="43" t="n">
        <v>3</v>
      </c>
      <c r="D30" s="43" t="n">
        <v>2</v>
      </c>
      <c r="E30" s="44" t="n">
        <v>1536</v>
      </c>
      <c r="F30" s="38" t="n">
        <v>135000</v>
      </c>
      <c r="G30" s="38" t="n">
        <v>1300</v>
      </c>
      <c r="H30" s="45">
        <f>F30*(1-$B$6)</f>
        <v/>
      </c>
      <c r="I30" s="45">
        <f>-PMT($B$5/12,360,H30)</f>
        <v/>
      </c>
      <c r="J30" s="45">
        <f>F30*$B$7/12</f>
        <v/>
      </c>
      <c r="K30" s="45">
        <f>$B$8</f>
        <v/>
      </c>
      <c r="L30" s="45">
        <f>I30+J30+K30+$B$9</f>
        <v/>
      </c>
      <c r="M30" s="46">
        <f>G30/L30</f>
        <v/>
      </c>
      <c r="N30" s="43">
        <f>IF(H30&gt;=$B$10,"Yes","Below floor")</f>
        <v/>
      </c>
      <c r="O30" s="43">
        <f>IF(M30&gt;=$B$11,"Yes","No")</f>
        <v/>
      </c>
      <c r="P30" s="42">
        <f>IF(H30&lt;$B$10,"Bundle/blanket or cash-then-refi",IF(M30&gt;=$B$11,"Kiavi/CV3/local (UWM if 700+)","Re-price or more down"))</f>
        <v/>
      </c>
      <c r="Q30" s="47" t="inlineStr">
        <is>
          <t>Est</t>
        </is>
      </c>
    </row>
    <row r="31" ht="15" customHeight="1" s="25">
      <c r="A31" s="35" t="inlineStr">
        <is>
          <t>252 Wachtel Ave</t>
        </is>
      </c>
      <c r="B31" s="36" t="inlineStr">
        <is>
          <t>63125</t>
        </is>
      </c>
      <c r="C31" s="36" t="n">
        <v>3</v>
      </c>
      <c r="D31" s="36" t="n">
        <v>2</v>
      </c>
      <c r="E31" s="37" t="n">
        <v>1463</v>
      </c>
      <c r="F31" s="38" t="n">
        <v>135000</v>
      </c>
      <c r="G31" s="38" t="n">
        <v>1300</v>
      </c>
      <c r="H31" s="39">
        <f>F31*(1-$B$6)</f>
        <v/>
      </c>
      <c r="I31" s="39">
        <f>-PMT($B$5/12,360,H31)</f>
        <v/>
      </c>
      <c r="J31" s="39">
        <f>F31*$B$7/12</f>
        <v/>
      </c>
      <c r="K31" s="39">
        <f>$B$8</f>
        <v/>
      </c>
      <c r="L31" s="39">
        <f>I31+J31+K31+$B$9</f>
        <v/>
      </c>
      <c r="M31" s="40">
        <f>G31/L31</f>
        <v/>
      </c>
      <c r="N31" s="36">
        <f>IF(H31&gt;=$B$10,"Yes","Below floor")</f>
        <v/>
      </c>
      <c r="O31" s="36">
        <f>IF(M31&gt;=$B$11,"Yes","No")</f>
        <v/>
      </c>
      <c r="P31" s="35">
        <f>IF(H31&lt;$B$10,"Bundle/blanket or cash-then-refi",IF(M31&gt;=$B$11,"Kiavi/CV3/local (UWM if 700+)","Re-price or more down"))</f>
        <v/>
      </c>
      <c r="Q31" s="41" t="inlineStr">
        <is>
          <t>Est</t>
        </is>
      </c>
    </row>
    <row r="32" ht="15" customHeight="1" s="25">
      <c r="A32" s="42" t="inlineStr">
        <is>
          <t>4837 Northland Ave</t>
        </is>
      </c>
      <c r="B32" s="43" t="inlineStr">
        <is>
          <t>63113</t>
        </is>
      </c>
      <c r="C32" s="43" t="n">
        <v>4</v>
      </c>
      <c r="D32" s="43" t="n">
        <v>4</v>
      </c>
      <c r="E32" s="44" t="n">
        <v>3430</v>
      </c>
      <c r="F32" s="38" t="n">
        <v>135000</v>
      </c>
      <c r="G32" s="38" t="n">
        <v>1600</v>
      </c>
      <c r="H32" s="45">
        <f>F32*(1-$B$6)</f>
        <v/>
      </c>
      <c r="I32" s="45">
        <f>-PMT($B$5/12,360,H32)</f>
        <v/>
      </c>
      <c r="J32" s="45">
        <f>F32*$B$7/12</f>
        <v/>
      </c>
      <c r="K32" s="45">
        <f>$B$8</f>
        <v/>
      </c>
      <c r="L32" s="45">
        <f>I32+J32+K32+$B$9</f>
        <v/>
      </c>
      <c r="M32" s="46">
        <f>G32/L32</f>
        <v/>
      </c>
      <c r="N32" s="43">
        <f>IF(H32&gt;=$B$10,"Yes","Below floor")</f>
        <v/>
      </c>
      <c r="O32" s="43">
        <f>IF(M32&gt;=$B$11,"Yes","No")</f>
        <v/>
      </c>
      <c r="P32" s="42">
        <f>IF(H32&lt;$B$10,"Bundle/blanket or cash-then-refi",IF(M32&gt;=$B$11,"Kiavi/CV3/local (UWM if 700+)","Re-price or more down"))</f>
        <v/>
      </c>
      <c r="Q32" s="47" t="inlineStr">
        <is>
          <t>Est (large)</t>
        </is>
      </c>
    </row>
    <row r="33" ht="15" customHeight="1" s="25">
      <c r="A33" s="35" t="inlineStr">
        <is>
          <t>10201 Royal Dr</t>
        </is>
      </c>
      <c r="B33" s="36" t="inlineStr">
        <is>
          <t>63136</t>
        </is>
      </c>
      <c r="C33" s="36" t="n">
        <v>3</v>
      </c>
      <c r="D33" s="36" t="n">
        <v>2.5</v>
      </c>
      <c r="E33" s="37" t="n">
        <v>1053</v>
      </c>
      <c r="F33" s="38" t="n">
        <v>139000</v>
      </c>
      <c r="G33" s="38" t="n">
        <v>1250</v>
      </c>
      <c r="H33" s="39">
        <f>F33*(1-$B$6)</f>
        <v/>
      </c>
      <c r="I33" s="39">
        <f>-PMT($B$5/12,360,H33)</f>
        <v/>
      </c>
      <c r="J33" s="39">
        <f>F33*$B$7/12</f>
        <v/>
      </c>
      <c r="K33" s="39">
        <f>$B$8</f>
        <v/>
      </c>
      <c r="L33" s="39">
        <f>I33+J33+K33+$B$9</f>
        <v/>
      </c>
      <c r="M33" s="40">
        <f>G33/L33</f>
        <v/>
      </c>
      <c r="N33" s="36">
        <f>IF(H33&gt;=$B$10,"Yes","Below floor")</f>
        <v/>
      </c>
      <c r="O33" s="36">
        <f>IF(M33&gt;=$B$11,"Yes","No")</f>
        <v/>
      </c>
      <c r="P33" s="35">
        <f>IF(H33&lt;$B$10,"Bundle/blanket or cash-then-refi",IF(M33&gt;=$B$11,"Kiavi/CV3/local (UWM if 700+)","Re-price or more down"))</f>
        <v/>
      </c>
      <c r="Q33" s="41" t="inlineStr">
        <is>
          <t>Est</t>
        </is>
      </c>
    </row>
    <row r="34" ht="15" customHeight="1" s="25">
      <c r="A34" s="42" t="inlineStr">
        <is>
          <t>755 Zeiss Ave</t>
        </is>
      </c>
      <c r="B34" s="43" t="inlineStr">
        <is>
          <t>63125</t>
        </is>
      </c>
      <c r="C34" s="43" t="n">
        <v>3</v>
      </c>
      <c r="D34" s="43" t="n">
        <v>2</v>
      </c>
      <c r="E34" s="44" t="n">
        <v>1038</v>
      </c>
      <c r="F34" s="38" t="n">
        <v>139900</v>
      </c>
      <c r="G34" s="38" t="n">
        <v>1300</v>
      </c>
      <c r="H34" s="45">
        <f>F34*(1-$B$6)</f>
        <v/>
      </c>
      <c r="I34" s="45">
        <f>-PMT($B$5/12,360,H34)</f>
        <v/>
      </c>
      <c r="J34" s="45">
        <f>F34*$B$7/12</f>
        <v/>
      </c>
      <c r="K34" s="45">
        <f>$B$8</f>
        <v/>
      </c>
      <c r="L34" s="45">
        <f>I34+J34+K34+$B$9</f>
        <v/>
      </c>
      <c r="M34" s="46">
        <f>G34/L34</f>
        <v/>
      </c>
      <c r="N34" s="43">
        <f>IF(H34&gt;=$B$10,"Yes","Below floor")</f>
        <v/>
      </c>
      <c r="O34" s="43">
        <f>IF(M34&gt;=$B$11,"Yes","No")</f>
        <v/>
      </c>
      <c r="P34" s="42">
        <f>IF(H34&lt;$B$10,"Bundle/blanket or cash-then-refi",IF(M34&gt;=$B$11,"Kiavi/CV3/local (UWM if 700+)","Re-price or more down"))</f>
        <v/>
      </c>
      <c r="Q34" s="47" t="inlineStr">
        <is>
          <t>Est</t>
        </is>
      </c>
    </row>
    <row r="35" ht="15" customHeight="1" s="25">
      <c r="A35" s="35" t="inlineStr">
        <is>
          <t>3019 Chippewa St</t>
        </is>
      </c>
      <c r="B35" s="36" t="inlineStr">
        <is>
          <t>63118</t>
        </is>
      </c>
      <c r="C35" s="36" t="n">
        <v>3</v>
      </c>
      <c r="D35" s="36" t="n">
        <v>1</v>
      </c>
      <c r="E35" s="37" t="n">
        <v>1304</v>
      </c>
      <c r="F35" s="38" t="n">
        <v>139900</v>
      </c>
      <c r="G35" s="38" t="n">
        <v>1250</v>
      </c>
      <c r="H35" s="39">
        <f>F35*(1-$B$6)</f>
        <v/>
      </c>
      <c r="I35" s="39">
        <f>-PMT($B$5/12,360,H35)</f>
        <v/>
      </c>
      <c r="J35" s="39">
        <f>F35*$B$7/12</f>
        <v/>
      </c>
      <c r="K35" s="39">
        <f>$B$8</f>
        <v/>
      </c>
      <c r="L35" s="39">
        <f>I35+J35+K35+$B$9</f>
        <v/>
      </c>
      <c r="M35" s="40">
        <f>G35/L35</f>
        <v/>
      </c>
      <c r="N35" s="36">
        <f>IF(H35&gt;=$B$10,"Yes","Below floor")</f>
        <v/>
      </c>
      <c r="O35" s="36">
        <f>IF(M35&gt;=$B$11,"Yes","No")</f>
        <v/>
      </c>
      <c r="P35" s="35">
        <f>IF(H35&lt;$B$10,"Bundle/blanket or cash-then-refi",IF(M35&gt;=$B$11,"Kiavi/CV3/local (UWM if 700+)","Re-price or more down"))</f>
        <v/>
      </c>
      <c r="Q35" s="41" t="inlineStr">
        <is>
          <t>Est</t>
        </is>
      </c>
    </row>
    <row r="36" ht="15" customHeight="1" s="25">
      <c r="A36" s="42" t="inlineStr">
        <is>
          <t>4140 Virginia Ave</t>
        </is>
      </c>
      <c r="B36" s="43" t="inlineStr">
        <is>
          <t>63118</t>
        </is>
      </c>
      <c r="C36" s="43" t="n">
        <v>3</v>
      </c>
      <c r="D36" s="43" t="n">
        <v>1.5</v>
      </c>
      <c r="E36" s="44" t="n">
        <v>1200</v>
      </c>
      <c r="F36" s="38" t="n">
        <v>139000</v>
      </c>
      <c r="G36" s="38" t="n">
        <v>1250</v>
      </c>
      <c r="H36" s="45">
        <f>F36*(1-$B$6)</f>
        <v/>
      </c>
      <c r="I36" s="45">
        <f>-PMT($B$5/12,360,H36)</f>
        <v/>
      </c>
      <c r="J36" s="45">
        <f>F36*$B$7/12</f>
        <v/>
      </c>
      <c r="K36" s="45">
        <f>$B$8</f>
        <v/>
      </c>
      <c r="L36" s="45">
        <f>I36+J36+K36+$B$9</f>
        <v/>
      </c>
      <c r="M36" s="46">
        <f>G36/L36</f>
        <v/>
      </c>
      <c r="N36" s="43">
        <f>IF(H36&gt;=$B$10,"Yes","Below floor")</f>
        <v/>
      </c>
      <c r="O36" s="43">
        <f>IF(M36&gt;=$B$11,"Yes","No")</f>
        <v/>
      </c>
      <c r="P36" s="42">
        <f>IF(H36&lt;$B$10,"Bundle/blanket or cash-then-refi",IF(M36&gt;=$B$11,"Kiavi/CV3/local (UWM if 700+)","Re-price or more down"))</f>
        <v/>
      </c>
      <c r="Q36" s="47" t="inlineStr">
        <is>
          <t>Est</t>
        </is>
      </c>
    </row>
    <row r="37" ht="15" customHeight="1" s="25">
      <c r="A37" s="35" t="inlineStr">
        <is>
          <t>1130 Trampe Ave</t>
        </is>
      </c>
      <c r="B37" s="36" t="inlineStr">
        <is>
          <t>63138</t>
        </is>
      </c>
      <c r="C37" s="36" t="n">
        <v>3</v>
      </c>
      <c r="D37" s="36" t="n">
        <v>2</v>
      </c>
      <c r="E37" s="37" t="n">
        <v>1036</v>
      </c>
      <c r="F37" s="38" t="n">
        <v>139900</v>
      </c>
      <c r="G37" s="38" t="n">
        <v>1200</v>
      </c>
      <c r="H37" s="39">
        <f>F37*(1-$B$6)</f>
        <v/>
      </c>
      <c r="I37" s="39">
        <f>-PMT($B$5/12,360,H37)</f>
        <v/>
      </c>
      <c r="J37" s="39">
        <f>F37*$B$7/12</f>
        <v/>
      </c>
      <c r="K37" s="39">
        <f>$B$8</f>
        <v/>
      </c>
      <c r="L37" s="39">
        <f>I37+J37+K37+$B$9</f>
        <v/>
      </c>
      <c r="M37" s="40">
        <f>G37/L37</f>
        <v/>
      </c>
      <c r="N37" s="36">
        <f>IF(H37&gt;=$B$10,"Yes","Below floor")</f>
        <v/>
      </c>
      <c r="O37" s="36">
        <f>IF(M37&gt;=$B$11,"Yes","No")</f>
        <v/>
      </c>
      <c r="P37" s="35">
        <f>IF(H37&lt;$B$10,"Bundle/blanket or cash-then-refi",IF(M37&gt;=$B$11,"Kiavi/CV3/local (UWM if 700+)","Re-price or more down"))</f>
        <v/>
      </c>
      <c r="Q37" s="41" t="inlineStr">
        <is>
          <t>Est</t>
        </is>
      </c>
    </row>
    <row r="38" ht="15" customHeight="1" s="25">
      <c r="A38" s="42" t="inlineStr">
        <is>
          <t>6537 Julian Ave</t>
        </is>
      </c>
      <c r="B38" s="43" t="inlineStr">
        <is>
          <t>63133</t>
        </is>
      </c>
      <c r="C38" s="43" t="n">
        <v>3</v>
      </c>
      <c r="D38" s="43" t="n">
        <v>1</v>
      </c>
      <c r="E38" s="44" t="n">
        <v>1568</v>
      </c>
      <c r="F38" s="38" t="n">
        <v>139900</v>
      </c>
      <c r="G38" s="38" t="n">
        <v>1200</v>
      </c>
      <c r="H38" s="45">
        <f>F38*(1-$B$6)</f>
        <v/>
      </c>
      <c r="I38" s="45">
        <f>-PMT($B$5/12,360,H38)</f>
        <v/>
      </c>
      <c r="J38" s="45">
        <f>F38*$B$7/12</f>
        <v/>
      </c>
      <c r="K38" s="45">
        <f>$B$8</f>
        <v/>
      </c>
      <c r="L38" s="45">
        <f>I38+J38+K38+$B$9</f>
        <v/>
      </c>
      <c r="M38" s="46">
        <f>G38/L38</f>
        <v/>
      </c>
      <c r="N38" s="43">
        <f>IF(H38&gt;=$B$10,"Yes","Below floor")</f>
        <v/>
      </c>
      <c r="O38" s="43">
        <f>IF(M38&gt;=$B$11,"Yes","No")</f>
        <v/>
      </c>
      <c r="P38" s="42">
        <f>IF(H38&lt;$B$10,"Bundle/blanket or cash-then-refi",IF(M38&gt;=$B$11,"Kiavi/CV3/local (UWM if 700+)","Re-price or more down"))</f>
        <v/>
      </c>
      <c r="Q38" s="47" t="inlineStr">
        <is>
          <t>Est</t>
        </is>
      </c>
    </row>
    <row r="39"/>
    <row r="40" ht="15" customHeight="1" s="25">
      <c r="A40" s="27" t="inlineStr">
        <is>
          <t>NOTE: Rents marked "Est" are rough estimates — replace with real comps (Rentometer/AirDNA/market). Your file = first-time buyer, 620-679 credit → "Suggested path" assumes asset-based/local DSCR unless you reach 700+ for UWM. Loan/DSCR figures are illustrative, not a quote.</t>
        </is>
      </c>
    </row>
    <row r="41">
      <c r="A41" s="59" t="inlineStr">
        <is>
          <t>— Paul Melchior listings (motivated sellers, near/below appraised) —</t>
        </is>
      </c>
    </row>
    <row r="42">
      <c r="A42" t="inlineStr">
        <is>
          <t>Witsell Ave</t>
        </is>
      </c>
      <c r="B42" t="n">
        <v>63134</v>
      </c>
      <c r="C42" t="n">
        <v>3</v>
      </c>
      <c r="D42" t="n">
        <v>1</v>
      </c>
      <c r="F42" s="60" t="n">
        <v>119000</v>
      </c>
      <c r="G42" s="60" t="n">
        <v>1350</v>
      </c>
      <c r="H42" s="56">
        <f>F42*(1-$B$6)</f>
        <v/>
      </c>
      <c r="I42" s="56">
        <f>-PMT($B$5/12,360,H42)</f>
        <v/>
      </c>
      <c r="J42" s="56">
        <f>F42*$B$7/12</f>
        <v/>
      </c>
      <c r="K42" s="56">
        <f>$B$8</f>
        <v/>
      </c>
      <c r="L42" s="56">
        <f>I42+J42+K42+$B$9</f>
        <v/>
      </c>
      <c r="M42" s="61">
        <f>G42/L42</f>
        <v/>
      </c>
      <c r="N42" s="56">
        <f>IF(H42&gt;=$B$10,"Yes","Below floor")</f>
        <v/>
      </c>
      <c r="O42" s="56">
        <f>IF(M42&gt;=$B$11,"Yes","No")</f>
        <v/>
      </c>
      <c r="P42">
        <f>IF(H42&lt;$B$10,"Bundle/blanket or cash-then-refi",IF(M42&gt;=$B$11,"Kiavi/CV3/local (UWM if 700+)","Re-price or more down"))</f>
        <v/>
      </c>
      <c r="Q42" t="inlineStr">
        <is>
          <t>Prior $1,350 — VERIFY 1007 (vacant)</t>
        </is>
      </c>
    </row>
    <row r="43">
      <c r="A43" t="inlineStr">
        <is>
          <t>Minnesota Ave (Dutchtown duplex)</t>
        </is>
      </c>
      <c r="B43" t="n">
        <v>63118</v>
      </c>
      <c r="C43" t="n">
        <v>4</v>
      </c>
      <c r="D43" t="n">
        <v>2</v>
      </c>
      <c r="F43" s="60" t="n">
        <v>185000</v>
      </c>
      <c r="G43" s="60" t="n">
        <v>2090</v>
      </c>
      <c r="H43" s="56">
        <f>F43*(1-$B$6)</f>
        <v/>
      </c>
      <c r="I43" s="56">
        <f>-PMT($B$5/12,360,H43)</f>
        <v/>
      </c>
      <c r="J43" s="56">
        <f>F43*$B$7/12</f>
        <v/>
      </c>
      <c r="K43" s="56">
        <f>$B$8</f>
        <v/>
      </c>
      <c r="L43" s="56">
        <f>I43+J43+K43+$B$9</f>
        <v/>
      </c>
      <c r="M43" s="61">
        <f>G43/L43</f>
        <v/>
      </c>
      <c r="N43" s="56">
        <f>IF(H43&gt;=$B$10,"Yes","Below floor")</f>
        <v/>
      </c>
      <c r="O43" s="56">
        <f>IF(M43&gt;=$B$11,"Yes","No")</f>
        <v/>
      </c>
      <c r="P43">
        <f>IF(H43&lt;$B$10,"Bundle/blanket or cash-then-refi",IF(M43&gt;=$B$11,"Kiavi/CV3/local (UWM if 700+)","Re-price or more down"))</f>
        <v/>
      </c>
      <c r="Q43" t="inlineStr">
        <is>
          <t>In-place leases (occupied); appr $203K</t>
        </is>
      </c>
    </row>
    <row r="44">
      <c r="A44" t="inlineStr">
        <is>
          <t>Iowa Ave (Gravois Park duplex)</t>
        </is>
      </c>
      <c r="B44" t="n">
        <v>63118</v>
      </c>
      <c r="C44" t="n">
        <v>4</v>
      </c>
      <c r="D44" t="n">
        <v>2</v>
      </c>
      <c r="F44" s="60" t="n">
        <v>205000</v>
      </c>
      <c r="G44" s="60" t="n">
        <v>2100</v>
      </c>
      <c r="H44" s="56">
        <f>F44*(1-$B$6)</f>
        <v/>
      </c>
      <c r="I44" s="56">
        <f>-PMT($B$5/12,360,H44)</f>
        <v/>
      </c>
      <c r="J44" s="56">
        <f>F44*$B$7/12</f>
        <v/>
      </c>
      <c r="K44" s="56">
        <f>$B$8</f>
        <v/>
      </c>
      <c r="L44" s="56">
        <f>I44+J44+K44+$B$9</f>
        <v/>
      </c>
      <c r="M44" s="61">
        <f>G44/L44</f>
        <v/>
      </c>
      <c r="N44" s="56">
        <f>IF(H44&gt;=$B$10,"Yes","Below floor")</f>
        <v/>
      </c>
      <c r="O44" s="56">
        <f>IF(M44&gt;=$B$11,"Yes","No")</f>
        <v/>
      </c>
      <c r="P44">
        <f>IF(H44&lt;$B$10,"Bundle/blanket or cash-then-refi",IF(M44&gt;=$B$11,"Kiavi/CV3/local (UWM if 700+)","Re-price or more down"))</f>
        <v/>
      </c>
      <c r="Q44" t="inlineStr">
        <is>
          <t>Est — VERIFY 1007 (vacant); appr $220K</t>
        </is>
      </c>
    </row>
  </sheetData>
  <mergeCells count="1">
    <mergeCell ref="A40:Q40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2" customWidth="1" style="25" min="1" max="1"/>
    <col width="16" customWidth="1" style="25" min="2" max="2"/>
  </cols>
  <sheetData>
    <row r="1">
      <c r="A1" s="48" t="inlineStr">
        <is>
          <t>St. Louis BRRRR / Distressed Deal Analyzer</t>
        </is>
      </c>
    </row>
    <row r="2">
      <c r="A2" s="49" t="inlineStr">
        <is>
          <t>For low-priced distressed props BELOW the DSCR loan minimum. Buy + rehab with cash/hard-money, then refinance into DSCR once stabilized. Blue cells = your inputs.</t>
        </is>
      </c>
    </row>
    <row r="4">
      <c r="A4" s="50" t="inlineStr">
        <is>
          <t>THE DEAL — edit blue</t>
        </is>
      </c>
    </row>
    <row r="5">
      <c r="A5" s="24" t="inlineStr">
        <is>
          <t>Purchase price</t>
        </is>
      </c>
      <c r="B5" s="51" t="n">
        <v>65000</v>
      </c>
    </row>
    <row r="6">
      <c r="A6" s="24" t="inlineStr">
        <is>
          <t>Rehab budget (full contractor bid)</t>
        </is>
      </c>
      <c r="B6" s="51" t="n">
        <v>120000</v>
      </c>
    </row>
    <row r="7">
      <c r="A7" s="24" t="inlineStr">
        <is>
          <t>Closing + holding / carry</t>
        </is>
      </c>
      <c r="B7" s="51" t="n">
        <v>15000</v>
      </c>
    </row>
    <row r="8">
      <c r="A8" s="24" t="inlineStr">
        <is>
          <t>ARV — after-repair value (from sold comps)</t>
        </is>
      </c>
      <c r="B8" s="51" t="n">
        <v>180000</v>
      </c>
    </row>
    <row r="9">
      <c r="A9" s="24" t="inlineStr">
        <is>
          <t>Market rent / mo (verify w/ 1007)</t>
        </is>
      </c>
      <c r="B9" s="51" t="n">
        <v>1600</v>
      </c>
    </row>
    <row r="11">
      <c r="A11" s="50" t="inlineStr">
        <is>
          <t>DSCR REFI ASSUMPTIONS</t>
        </is>
      </c>
    </row>
    <row r="12">
      <c r="A12" s="24" t="inlineStr">
        <is>
          <t>Refi LTV (cash-out)</t>
        </is>
      </c>
      <c r="B12" s="52" t="n">
        <v>0.75</v>
      </c>
    </row>
    <row r="13">
      <c r="A13" s="24" t="inlineStr">
        <is>
          <t>Interest rate (DSCR ~8%)</t>
        </is>
      </c>
      <c r="B13" s="53" t="n">
        <v>0.08</v>
      </c>
    </row>
    <row r="14">
      <c r="A14" s="24" t="inlineStr">
        <is>
          <t>Property tax (annual % of ARV)</t>
        </is>
      </c>
      <c r="B14" s="53" t="n">
        <v>0.013</v>
      </c>
    </row>
    <row r="15">
      <c r="A15" s="24" t="inlineStr">
        <is>
          <t>Insurance ($/mo)</t>
        </is>
      </c>
      <c r="B15" s="51" t="n">
        <v>95</v>
      </c>
    </row>
    <row r="16">
      <c r="A16" s="24" t="inlineStr">
        <is>
          <t>Min loan floor ($)</t>
        </is>
      </c>
      <c r="B16" s="51" t="n">
        <v>100000</v>
      </c>
    </row>
    <row r="17">
      <c r="A17" s="24" t="inlineStr">
        <is>
          <t>Min DSCR to pass</t>
        </is>
      </c>
      <c r="B17" s="54" t="n">
        <v>1</v>
      </c>
    </row>
    <row r="19">
      <c r="A19" s="50" t="inlineStr">
        <is>
          <t>RESULTS</t>
        </is>
      </c>
    </row>
    <row r="20">
      <c r="A20" s="55" t="inlineStr">
        <is>
          <t>All-in cost</t>
        </is>
      </c>
      <c r="B20" s="56">
        <f>B5+B6+B7</f>
        <v/>
      </c>
    </row>
    <row r="21">
      <c r="A21" s="24" t="inlineStr">
        <is>
          <t>Max DSCR refi loan (ARV × LTV)</t>
        </is>
      </c>
      <c r="B21" s="56">
        <f>B8*B12</f>
        <v/>
      </c>
    </row>
    <row r="22">
      <c r="A22" s="24" t="inlineStr">
        <is>
          <t>Clears min loan floor?</t>
        </is>
      </c>
      <c r="B22" s="24">
        <f>IF(B21&gt;=B16,"YES","NO - too small")</f>
        <v/>
      </c>
    </row>
    <row r="23">
      <c r="A23" s="24" t="inlineStr">
        <is>
          <t>Cash left in deal (all-in − loan)</t>
        </is>
      </c>
      <c r="B23" s="56">
        <f>B20-B21</f>
        <v/>
      </c>
    </row>
    <row r="24">
      <c r="A24" s="24" t="inlineStr">
        <is>
          <t>Capital recovered %</t>
        </is>
      </c>
      <c r="B24" s="57">
        <f>IF(B20&gt;0,B21/B20,0)</f>
        <v/>
      </c>
    </row>
    <row r="25">
      <c r="A25" s="24" t="inlineStr">
        <is>
          <t>ARV needed to recover ALL capital</t>
        </is>
      </c>
      <c r="B25" s="56">
        <f>B20/B12</f>
        <v/>
      </c>
    </row>
    <row r="27">
      <c r="A27" s="24" t="inlineStr">
        <is>
          <t>P&amp;I / mo</t>
        </is>
      </c>
      <c r="B27" s="56">
        <f>-PMT(B13/12,360,B21)</f>
        <v/>
      </c>
    </row>
    <row r="28">
      <c r="A28" s="24" t="inlineStr">
        <is>
          <t>Taxes / mo</t>
        </is>
      </c>
      <c r="B28" s="56">
        <f>B8*B14/12</f>
        <v/>
      </c>
    </row>
    <row r="29">
      <c r="A29" s="24" t="inlineStr">
        <is>
          <t>Insurance / mo</t>
        </is>
      </c>
      <c r="B29" s="56">
        <f>B15</f>
        <v/>
      </c>
    </row>
    <row r="30">
      <c r="A30" s="55" t="inlineStr">
        <is>
          <t>PITIA / mo</t>
        </is>
      </c>
      <c r="B30" s="56">
        <f>B27+B28+B29</f>
        <v/>
      </c>
    </row>
    <row r="31">
      <c r="A31" s="55" t="inlineStr">
        <is>
          <t>DSCR (rent ÷ PITIA)</t>
        </is>
      </c>
      <c r="B31" s="58">
        <f>IF(B30&gt;0,B9/B30,0)</f>
        <v/>
      </c>
    </row>
    <row r="32">
      <c r="A32" s="24" t="inlineStr">
        <is>
          <t>DSCR passes?</t>
        </is>
      </c>
      <c r="B32" s="24">
        <f>IF(B31&gt;=B17,"YES","NO")</f>
        <v/>
      </c>
    </row>
    <row r="33">
      <c r="A33" s="24" t="inlineStr">
        <is>
          <t>Over-improvement check</t>
        </is>
      </c>
      <c r="B33" s="55">
        <f>IF(B8&lt;B20,"WARNING: ARV below all-in - likely over-improving","OK - ARV above all-in")</f>
        <v/>
      </c>
    </row>
    <row r="35">
      <c r="A35" s="50" t="inlineStr">
        <is>
          <t>VERDICT LOGIC</t>
        </is>
      </c>
    </row>
    <row r="36">
      <c r="A36" s="49" t="inlineStr">
        <is>
          <t>Three tests: (1) rent covers the refi payment — DSCR ≥ min; (2) the refi loan clears the floor; (3) capital recovered — under ~90% means a lot of cash stuck. If ARV &lt; all-in, you are over-improving (common on large historic full-guts).</t>
        </is>
      </c>
    </row>
    <row r="37">
      <c r="A37" s="49" t="inlineStr">
        <is>
          <t>Historic brick? Research Missouri + federal Historic Tax Credits — they can offset rehab and change the whole math.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2026-06-24T19:22:10Z</dcterms:created>
  <dcterms:modified xmlns:dcterms="http://purl.org/dc/terms/" xmlns:xsi="http://www.w3.org/2001/XMLSchema-instance" xsi:type="dcterms:W3CDTF">2026-06-26T22:39:57Z</dcterms:modified>
  <cp:revision>0</cp:revision>
</cp:coreProperties>
</file>